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GA\Team Analyse\Distriktsindeksen\Distriktsindeksen 2016\"/>
    </mc:Choice>
  </mc:AlternateContent>
  <bookViews>
    <workbookView xWindow="720" yWindow="432" windowWidth="19440" windowHeight="9720" activeTab="1"/>
  </bookViews>
  <sheets>
    <sheet name="Rådata-K" sheetId="1" r:id="rId1"/>
    <sheet name="Arbeidsark-K" sheetId="3" r:id="rId2"/>
    <sheet name="Vekting" sheetId="4" r:id="rId3"/>
  </sheets>
  <calcPr calcId="152511"/>
</workbook>
</file>

<file path=xl/calcChain.xml><?xml version="1.0" encoding="utf-8"?>
<calcChain xmlns="http://schemas.openxmlformats.org/spreadsheetml/2006/main">
  <c r="O3" i="1" l="1"/>
  <c r="S3" i="1" l="1"/>
  <c r="S4" i="1"/>
  <c r="S5" i="1"/>
  <c r="H6" i="3" s="1"/>
  <c r="S6" i="1"/>
  <c r="S7" i="1"/>
  <c r="S8" i="1"/>
  <c r="S9" i="1"/>
  <c r="H10" i="3" s="1"/>
  <c r="S10" i="1"/>
  <c r="S11" i="1"/>
  <c r="S12" i="1"/>
  <c r="S13" i="1"/>
  <c r="S14" i="1"/>
  <c r="S15" i="1"/>
  <c r="S16" i="1"/>
  <c r="S17" i="1"/>
  <c r="H18" i="3" s="1"/>
  <c r="S18" i="1"/>
  <c r="S19" i="1"/>
  <c r="S20" i="1"/>
  <c r="S21" i="1"/>
  <c r="H22" i="3" s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H36" i="3" s="1"/>
  <c r="S36" i="1"/>
  <c r="S37" i="1"/>
  <c r="H38" i="3" s="1"/>
  <c r="S38" i="1"/>
  <c r="S39" i="1"/>
  <c r="S40" i="1"/>
  <c r="S41" i="1"/>
  <c r="H42" i="3" s="1"/>
  <c r="S42" i="1"/>
  <c r="H43" i="3" s="1"/>
  <c r="S43" i="1"/>
  <c r="S44" i="1"/>
  <c r="S45" i="1"/>
  <c r="S46" i="1"/>
  <c r="S47" i="1"/>
  <c r="S48" i="1"/>
  <c r="S49" i="1"/>
  <c r="H50" i="3" s="1"/>
  <c r="S50" i="1"/>
  <c r="S51" i="1"/>
  <c r="H52" i="3" s="1"/>
  <c r="S52" i="1"/>
  <c r="S53" i="1"/>
  <c r="S54" i="1"/>
  <c r="S55" i="1"/>
  <c r="S56" i="1"/>
  <c r="S57" i="1"/>
  <c r="H58" i="3" s="1"/>
  <c r="S58" i="1"/>
  <c r="S59" i="1"/>
  <c r="S60" i="1"/>
  <c r="S61" i="1"/>
  <c r="H62" i="3" s="1"/>
  <c r="S62" i="1"/>
  <c r="S63" i="1"/>
  <c r="S64" i="1"/>
  <c r="S65" i="1"/>
  <c r="S66" i="1"/>
  <c r="S67" i="1"/>
  <c r="S68" i="1"/>
  <c r="S69" i="1"/>
  <c r="H70" i="3" s="1"/>
  <c r="S70" i="1"/>
  <c r="S71" i="1"/>
  <c r="H72" i="3" s="1"/>
  <c r="S72" i="1"/>
  <c r="S73" i="1"/>
  <c r="S74" i="1"/>
  <c r="S75" i="1"/>
  <c r="S76" i="1"/>
  <c r="S77" i="1"/>
  <c r="H78" i="3" s="1"/>
  <c r="S78" i="1"/>
  <c r="S79" i="1"/>
  <c r="S80" i="1"/>
  <c r="S81" i="1"/>
  <c r="S82" i="1"/>
  <c r="S83" i="1"/>
  <c r="S84" i="1"/>
  <c r="H85" i="3" s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H103" i="3" s="1"/>
  <c r="S103" i="1"/>
  <c r="S104" i="1"/>
  <c r="S105" i="1"/>
  <c r="S106" i="1"/>
  <c r="S107" i="1"/>
  <c r="S108" i="1"/>
  <c r="S109" i="1"/>
  <c r="S110" i="1"/>
  <c r="S111" i="1"/>
  <c r="S112" i="1"/>
  <c r="S113" i="1"/>
  <c r="H114" i="3" s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H132" i="3" s="1"/>
  <c r="S132" i="1"/>
  <c r="S133" i="1"/>
  <c r="H134" i="3" s="1"/>
  <c r="S134" i="1"/>
  <c r="S135" i="1"/>
  <c r="S136" i="1"/>
  <c r="S137" i="1"/>
  <c r="H138" i="3" s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H154" i="3" s="1"/>
  <c r="S154" i="1"/>
  <c r="S155" i="1"/>
  <c r="S156" i="1"/>
  <c r="S157" i="1"/>
  <c r="H158" i="3" s="1"/>
  <c r="S158" i="1"/>
  <c r="S159" i="1"/>
  <c r="S160" i="1"/>
  <c r="S161" i="1"/>
  <c r="S162" i="1"/>
  <c r="S163" i="1"/>
  <c r="S164" i="1"/>
  <c r="H165" i="3" s="1"/>
  <c r="S165" i="1"/>
  <c r="H166" i="3" s="1"/>
  <c r="S166" i="1"/>
  <c r="S167" i="1"/>
  <c r="S168" i="1"/>
  <c r="H169" i="3" s="1"/>
  <c r="S169" i="1"/>
  <c r="S170" i="1"/>
  <c r="S171" i="1"/>
  <c r="S172" i="1"/>
  <c r="S173" i="1"/>
  <c r="H174" i="3" s="1"/>
  <c r="S174" i="1"/>
  <c r="S175" i="1"/>
  <c r="S176" i="1"/>
  <c r="S177" i="1"/>
  <c r="H178" i="3" s="1"/>
  <c r="S178" i="1"/>
  <c r="S179" i="1"/>
  <c r="S180" i="1"/>
  <c r="H181" i="3" s="1"/>
  <c r="S181" i="1"/>
  <c r="S182" i="1"/>
  <c r="S183" i="1"/>
  <c r="S184" i="1"/>
  <c r="S185" i="1"/>
  <c r="S186" i="1"/>
  <c r="S187" i="1"/>
  <c r="S188" i="1"/>
  <c r="H189" i="3" s="1"/>
  <c r="S189" i="1"/>
  <c r="H190" i="3" s="1"/>
  <c r="S190" i="1"/>
  <c r="S191" i="1"/>
  <c r="S192" i="1"/>
  <c r="S193" i="1"/>
  <c r="H194" i="3" s="1"/>
  <c r="S194" i="1"/>
  <c r="H195" i="3" s="1"/>
  <c r="S195" i="1"/>
  <c r="S196" i="1"/>
  <c r="S197" i="1"/>
  <c r="H198" i="3" s="1"/>
  <c r="S198" i="1"/>
  <c r="H199" i="3" s="1"/>
  <c r="S199" i="1"/>
  <c r="S200" i="1"/>
  <c r="S201" i="1"/>
  <c r="S202" i="1"/>
  <c r="S203" i="1"/>
  <c r="S204" i="1"/>
  <c r="S205" i="1"/>
  <c r="H206" i="3" s="1"/>
  <c r="S206" i="1"/>
  <c r="S207" i="1"/>
  <c r="S208" i="1"/>
  <c r="S209" i="1"/>
  <c r="H210" i="3" s="1"/>
  <c r="S210" i="1"/>
  <c r="S211" i="1"/>
  <c r="H212" i="3" s="1"/>
  <c r="S212" i="1"/>
  <c r="H213" i="3" s="1"/>
  <c r="S213" i="1"/>
  <c r="H214" i="3" s="1"/>
  <c r="S214" i="1"/>
  <c r="H215" i="3" s="1"/>
  <c r="S215" i="1"/>
  <c r="S216" i="1"/>
  <c r="S217" i="1"/>
  <c r="S218" i="1"/>
  <c r="S219" i="1"/>
  <c r="S220" i="1"/>
  <c r="S221" i="1"/>
  <c r="H222" i="3" s="1"/>
  <c r="S222" i="1"/>
  <c r="S223" i="1"/>
  <c r="S224" i="1"/>
  <c r="S225" i="1"/>
  <c r="S226" i="1"/>
  <c r="H227" i="3" s="1"/>
  <c r="S227" i="1"/>
  <c r="S228" i="1"/>
  <c r="S229" i="1"/>
  <c r="S230" i="1"/>
  <c r="S231" i="1"/>
  <c r="S232" i="1"/>
  <c r="S233" i="1"/>
  <c r="S234" i="1"/>
  <c r="S235" i="1"/>
  <c r="S236" i="1"/>
  <c r="H237" i="3" s="1"/>
  <c r="S237" i="1"/>
  <c r="S238" i="1"/>
  <c r="S239" i="1"/>
  <c r="S240" i="1"/>
  <c r="H241" i="3" s="1"/>
  <c r="S241" i="1"/>
  <c r="S242" i="1"/>
  <c r="S243" i="1"/>
  <c r="S244" i="1"/>
  <c r="S245" i="1"/>
  <c r="H246" i="3" s="1"/>
  <c r="S246" i="1"/>
  <c r="S247" i="1"/>
  <c r="S248" i="1"/>
  <c r="S249" i="1"/>
  <c r="H250" i="3" s="1"/>
  <c r="S250" i="1"/>
  <c r="S251" i="1"/>
  <c r="S252" i="1"/>
  <c r="H253" i="3" s="1"/>
  <c r="S253" i="1"/>
  <c r="H254" i="3" s="1"/>
  <c r="S254" i="1"/>
  <c r="S255" i="1"/>
  <c r="S256" i="1"/>
  <c r="H257" i="3" s="1"/>
  <c r="S257" i="1"/>
  <c r="H258" i="3" s="1"/>
  <c r="S258" i="1"/>
  <c r="S259" i="1"/>
  <c r="S260" i="1"/>
  <c r="S261" i="1"/>
  <c r="H262" i="3" s="1"/>
  <c r="S262" i="1"/>
  <c r="S263" i="1"/>
  <c r="S264" i="1"/>
  <c r="S265" i="1"/>
  <c r="S266" i="1"/>
  <c r="S267" i="1"/>
  <c r="S268" i="1"/>
  <c r="S269" i="1"/>
  <c r="S270" i="1"/>
  <c r="S271" i="1"/>
  <c r="S272" i="1"/>
  <c r="H273" i="3" s="1"/>
  <c r="S273" i="1"/>
  <c r="S274" i="1"/>
  <c r="S275" i="1"/>
  <c r="S276" i="1"/>
  <c r="S277" i="1"/>
  <c r="H278" i="3" s="1"/>
  <c r="S278" i="1"/>
  <c r="S279" i="1"/>
  <c r="S280" i="1"/>
  <c r="H281" i="3" s="1"/>
  <c r="S281" i="1"/>
  <c r="H282" i="3" s="1"/>
  <c r="S282" i="1"/>
  <c r="S283" i="1"/>
  <c r="S284" i="1"/>
  <c r="S285" i="1"/>
  <c r="S286" i="1"/>
  <c r="S287" i="1"/>
  <c r="S288" i="1"/>
  <c r="H289" i="3" s="1"/>
  <c r="S289" i="1"/>
  <c r="S290" i="1"/>
  <c r="S291" i="1"/>
  <c r="H292" i="3" s="1"/>
  <c r="S292" i="1"/>
  <c r="H293" i="3" s="1"/>
  <c r="S293" i="1"/>
  <c r="S294" i="1"/>
  <c r="S295" i="1"/>
  <c r="S296" i="1"/>
  <c r="S297" i="1"/>
  <c r="S298" i="1"/>
  <c r="S299" i="1"/>
  <c r="S300" i="1"/>
  <c r="H301" i="3" s="1"/>
  <c r="S301" i="1"/>
  <c r="S302" i="1"/>
  <c r="S303" i="1"/>
  <c r="S304" i="1"/>
  <c r="S305" i="1"/>
  <c r="H306" i="3" s="1"/>
  <c r="S306" i="1"/>
  <c r="S307" i="1"/>
  <c r="S308" i="1"/>
  <c r="S309" i="1"/>
  <c r="S310" i="1"/>
  <c r="S311" i="1"/>
  <c r="S312" i="1"/>
  <c r="S313" i="1"/>
  <c r="H314" i="3" s="1"/>
  <c r="S314" i="1"/>
  <c r="H315" i="3" s="1"/>
  <c r="S315" i="1"/>
  <c r="S316" i="1"/>
  <c r="S317" i="1"/>
  <c r="H318" i="3" s="1"/>
  <c r="S318" i="1"/>
  <c r="H319" i="3" s="1"/>
  <c r="S319" i="1"/>
  <c r="S320" i="1"/>
  <c r="S321" i="1"/>
  <c r="H322" i="3" s="1"/>
  <c r="S322" i="1"/>
  <c r="S323" i="1"/>
  <c r="S324" i="1"/>
  <c r="S325" i="1"/>
  <c r="H326" i="3" s="1"/>
  <c r="S326" i="1"/>
  <c r="S327" i="1"/>
  <c r="S328" i="1"/>
  <c r="H329" i="3" s="1"/>
  <c r="S329" i="1"/>
  <c r="H330" i="3" s="1"/>
  <c r="S330" i="1"/>
  <c r="H331" i="3" s="1"/>
  <c r="S331" i="1"/>
  <c r="S332" i="1"/>
  <c r="S333" i="1"/>
  <c r="H334" i="3" s="1"/>
  <c r="S334" i="1"/>
  <c r="S335" i="1"/>
  <c r="S336" i="1"/>
  <c r="S337" i="1"/>
  <c r="H338" i="3" s="1"/>
  <c r="S338" i="1"/>
  <c r="S339" i="1"/>
  <c r="S340" i="1"/>
  <c r="S341" i="1"/>
  <c r="H342" i="3" s="1"/>
  <c r="S342" i="1"/>
  <c r="S343" i="1"/>
  <c r="S344" i="1"/>
  <c r="S345" i="1"/>
  <c r="H346" i="3" s="1"/>
  <c r="S346" i="1"/>
  <c r="H347" i="3" s="1"/>
  <c r="S347" i="1"/>
  <c r="S348" i="1"/>
  <c r="S349" i="1"/>
  <c r="H350" i="3" s="1"/>
  <c r="S350" i="1"/>
  <c r="S351" i="1"/>
  <c r="H352" i="3" s="1"/>
  <c r="S352" i="1"/>
  <c r="H353" i="3" s="1"/>
  <c r="S353" i="1"/>
  <c r="H354" i="3" s="1"/>
  <c r="S354" i="1"/>
  <c r="S355" i="1"/>
  <c r="S356" i="1"/>
  <c r="S357" i="1"/>
  <c r="H358" i="3" s="1"/>
  <c r="S358" i="1"/>
  <c r="H359" i="3" s="1"/>
  <c r="S359" i="1"/>
  <c r="S360" i="1"/>
  <c r="S361" i="1"/>
  <c r="S362" i="1"/>
  <c r="S363" i="1"/>
  <c r="S364" i="1"/>
  <c r="S365" i="1"/>
  <c r="H366" i="3" s="1"/>
  <c r="S366" i="1"/>
  <c r="H367" i="3" s="1"/>
  <c r="S367" i="1"/>
  <c r="S368" i="1"/>
  <c r="H369" i="3" s="1"/>
  <c r="S369" i="1"/>
  <c r="H370" i="3" s="1"/>
  <c r="S370" i="1"/>
  <c r="H371" i="3" s="1"/>
  <c r="S371" i="1"/>
  <c r="S372" i="1"/>
  <c r="S373" i="1"/>
  <c r="S374" i="1"/>
  <c r="H375" i="3" s="1"/>
  <c r="S375" i="1"/>
  <c r="S376" i="1"/>
  <c r="H377" i="3" s="1"/>
  <c r="S377" i="1"/>
  <c r="H378" i="3" s="1"/>
  <c r="S378" i="1"/>
  <c r="H379" i="3" s="1"/>
  <c r="S379" i="1"/>
  <c r="S380" i="1"/>
  <c r="H381" i="3" s="1"/>
  <c r="S381" i="1"/>
  <c r="S382" i="1"/>
  <c r="H383" i="3" s="1"/>
  <c r="S383" i="1"/>
  <c r="S384" i="1"/>
  <c r="S385" i="1"/>
  <c r="S386" i="1"/>
  <c r="S387" i="1"/>
  <c r="S388" i="1"/>
  <c r="H389" i="3" s="1"/>
  <c r="S389" i="1"/>
  <c r="S390" i="1"/>
  <c r="S391" i="1"/>
  <c r="S392" i="1"/>
  <c r="H393" i="3" s="1"/>
  <c r="S393" i="1"/>
  <c r="H394" i="3" s="1"/>
  <c r="S394" i="1"/>
  <c r="H395" i="3" s="1"/>
  <c r="S395" i="1"/>
  <c r="S396" i="1"/>
  <c r="S397" i="1"/>
  <c r="S398" i="1"/>
  <c r="H399" i="3" s="1"/>
  <c r="S399" i="1"/>
  <c r="S400" i="1"/>
  <c r="S401" i="1"/>
  <c r="H402" i="3" s="1"/>
  <c r="S402" i="1"/>
  <c r="H403" i="3" s="1"/>
  <c r="S403" i="1"/>
  <c r="S404" i="1"/>
  <c r="S405" i="1"/>
  <c r="H406" i="3" s="1"/>
  <c r="S406" i="1"/>
  <c r="S407" i="1"/>
  <c r="H408" i="3" s="1"/>
  <c r="S408" i="1"/>
  <c r="H409" i="3" s="1"/>
  <c r="S409" i="1"/>
  <c r="H410" i="3" s="1"/>
  <c r="S410" i="1"/>
  <c r="S411" i="1"/>
  <c r="S412" i="1"/>
  <c r="H413" i="3" s="1"/>
  <c r="S413" i="1"/>
  <c r="H414" i="3" s="1"/>
  <c r="S414" i="1"/>
  <c r="S415" i="1"/>
  <c r="H416" i="3" s="1"/>
  <c r="S416" i="1"/>
  <c r="S417" i="1"/>
  <c r="H418" i="3" s="1"/>
  <c r="S418" i="1"/>
  <c r="S419" i="1"/>
  <c r="S420" i="1"/>
  <c r="H421" i="3" s="1"/>
  <c r="S421" i="1"/>
  <c r="H422" i="3" s="1"/>
  <c r="S422" i="1"/>
  <c r="S423" i="1"/>
  <c r="S424" i="1"/>
  <c r="H425" i="3" s="1"/>
  <c r="S425" i="1"/>
  <c r="S426" i="1"/>
  <c r="S427" i="1"/>
  <c r="S428" i="1"/>
  <c r="S429" i="1"/>
  <c r="H430" i="3" s="1"/>
  <c r="S430" i="1"/>
  <c r="H431" i="3" s="1"/>
  <c r="R3" i="1"/>
  <c r="R4" i="1"/>
  <c r="G5" i="3" s="1"/>
  <c r="R5" i="1"/>
  <c r="G6" i="3" s="1"/>
  <c r="R6" i="1"/>
  <c r="R7" i="1"/>
  <c r="R8" i="1"/>
  <c r="R9" i="1"/>
  <c r="G10" i="3" s="1"/>
  <c r="R10" i="1"/>
  <c r="R11" i="1"/>
  <c r="R12" i="1"/>
  <c r="R13" i="1"/>
  <c r="R14" i="1"/>
  <c r="R15" i="1"/>
  <c r="R16" i="1"/>
  <c r="R17" i="1"/>
  <c r="G18" i="3" s="1"/>
  <c r="R18" i="1"/>
  <c r="G19" i="3" s="1"/>
  <c r="R19" i="1"/>
  <c r="R20" i="1"/>
  <c r="R21" i="1"/>
  <c r="G22" i="3" s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G36" i="3" s="1"/>
  <c r="R36" i="1"/>
  <c r="R37" i="1"/>
  <c r="G38" i="3" s="1"/>
  <c r="R38" i="1"/>
  <c r="R39" i="1"/>
  <c r="R40" i="1"/>
  <c r="R41" i="1"/>
  <c r="G42" i="3" s="1"/>
  <c r="R42" i="1"/>
  <c r="G43" i="3" s="1"/>
  <c r="R43" i="1"/>
  <c r="R44" i="1"/>
  <c r="R45" i="1"/>
  <c r="R46" i="1"/>
  <c r="R47" i="1"/>
  <c r="R48" i="1"/>
  <c r="R49" i="1"/>
  <c r="G50" i="3" s="1"/>
  <c r="R50" i="1"/>
  <c r="G51" i="3" s="1"/>
  <c r="R51" i="1"/>
  <c r="G52" i="3" s="1"/>
  <c r="R52" i="1"/>
  <c r="R53" i="1"/>
  <c r="R54" i="1"/>
  <c r="R55" i="1"/>
  <c r="R56" i="1"/>
  <c r="R57" i="1"/>
  <c r="G58" i="3" s="1"/>
  <c r="R58" i="1"/>
  <c r="G59" i="3" s="1"/>
  <c r="R59" i="1"/>
  <c r="R60" i="1"/>
  <c r="R61" i="1"/>
  <c r="G62" i="3" s="1"/>
  <c r="R62" i="1"/>
  <c r="G63" i="3" s="1"/>
  <c r="R63" i="1"/>
  <c r="R64" i="1"/>
  <c r="R65" i="1"/>
  <c r="R66" i="1"/>
  <c r="R67" i="1"/>
  <c r="R68" i="1"/>
  <c r="R69" i="1"/>
  <c r="G70" i="3" s="1"/>
  <c r="R70" i="1"/>
  <c r="R71" i="1"/>
  <c r="R72" i="1"/>
  <c r="R73" i="1"/>
  <c r="R74" i="1"/>
  <c r="R75" i="1"/>
  <c r="R76" i="1"/>
  <c r="R77" i="1"/>
  <c r="G78" i="3" s="1"/>
  <c r="R78" i="1"/>
  <c r="R79" i="1"/>
  <c r="R80" i="1"/>
  <c r="R81" i="1"/>
  <c r="R82" i="1"/>
  <c r="R83" i="1"/>
  <c r="R84" i="1"/>
  <c r="R85" i="1"/>
  <c r="R86" i="1"/>
  <c r="G87" i="3" s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G103" i="3" s="1"/>
  <c r="R103" i="1"/>
  <c r="R104" i="1"/>
  <c r="R105" i="1"/>
  <c r="R106" i="1"/>
  <c r="R107" i="1"/>
  <c r="R108" i="1"/>
  <c r="R109" i="1"/>
  <c r="R110" i="1"/>
  <c r="R111" i="1"/>
  <c r="R112" i="1"/>
  <c r="R113" i="1"/>
  <c r="G114" i="3" s="1"/>
  <c r="R114" i="1"/>
  <c r="G115" i="3" s="1"/>
  <c r="R115" i="1"/>
  <c r="R116" i="1"/>
  <c r="R117" i="1"/>
  <c r="R118" i="1"/>
  <c r="G119" i="3" s="1"/>
  <c r="R119" i="1"/>
  <c r="R120" i="1"/>
  <c r="R121" i="1"/>
  <c r="R122" i="1"/>
  <c r="G123" i="3" s="1"/>
  <c r="R123" i="1"/>
  <c r="R124" i="1"/>
  <c r="R125" i="1"/>
  <c r="R126" i="1"/>
  <c r="G127" i="3" s="1"/>
  <c r="R127" i="1"/>
  <c r="R128" i="1"/>
  <c r="R129" i="1"/>
  <c r="R130" i="1"/>
  <c r="R131" i="1"/>
  <c r="R132" i="1"/>
  <c r="R133" i="1"/>
  <c r="G134" i="3" s="1"/>
  <c r="R134" i="1"/>
  <c r="R135" i="1"/>
  <c r="R136" i="1"/>
  <c r="R137" i="1"/>
  <c r="G138" i="3" s="1"/>
  <c r="R138" i="1"/>
  <c r="R139" i="1"/>
  <c r="R140" i="1"/>
  <c r="R141" i="1"/>
  <c r="R142" i="1"/>
  <c r="R143" i="1"/>
  <c r="R144" i="1"/>
  <c r="R145" i="1"/>
  <c r="R146" i="1"/>
  <c r="G147" i="3" s="1"/>
  <c r="R147" i="1"/>
  <c r="R148" i="1"/>
  <c r="R149" i="1"/>
  <c r="R150" i="1"/>
  <c r="R151" i="1"/>
  <c r="R152" i="1"/>
  <c r="R153" i="1"/>
  <c r="G154" i="3" s="1"/>
  <c r="R154" i="1"/>
  <c r="R155" i="1"/>
  <c r="R156" i="1"/>
  <c r="R157" i="1"/>
  <c r="G158" i="3" s="1"/>
  <c r="R158" i="1"/>
  <c r="G159" i="3" s="1"/>
  <c r="R159" i="1"/>
  <c r="R160" i="1"/>
  <c r="R161" i="1"/>
  <c r="R162" i="1"/>
  <c r="R163" i="1"/>
  <c r="R164" i="1"/>
  <c r="G165" i="3" s="1"/>
  <c r="R165" i="1"/>
  <c r="G166" i="3" s="1"/>
  <c r="R166" i="1"/>
  <c r="G167" i="3" s="1"/>
  <c r="R167" i="1"/>
  <c r="R168" i="1"/>
  <c r="G169" i="3" s="1"/>
  <c r="R169" i="1"/>
  <c r="R170" i="1"/>
  <c r="R171" i="1"/>
  <c r="R172" i="1"/>
  <c r="R173" i="1"/>
  <c r="G174" i="3" s="1"/>
  <c r="R174" i="1"/>
  <c r="R175" i="1"/>
  <c r="R176" i="1"/>
  <c r="R177" i="1"/>
  <c r="G178" i="3" s="1"/>
  <c r="R178" i="1"/>
  <c r="G179" i="3" s="1"/>
  <c r="R179" i="1"/>
  <c r="R180" i="1"/>
  <c r="G181" i="3" s="1"/>
  <c r="R181" i="1"/>
  <c r="R182" i="1"/>
  <c r="G183" i="3" s="1"/>
  <c r="R183" i="1"/>
  <c r="R184" i="1"/>
  <c r="R185" i="1"/>
  <c r="R186" i="1"/>
  <c r="G187" i="3" s="1"/>
  <c r="R187" i="1"/>
  <c r="R188" i="1"/>
  <c r="G189" i="3" s="1"/>
  <c r="R189" i="1"/>
  <c r="G190" i="3" s="1"/>
  <c r="R190" i="1"/>
  <c r="G191" i="3" s="1"/>
  <c r="R191" i="1"/>
  <c r="R192" i="1"/>
  <c r="R193" i="1"/>
  <c r="G194" i="3" s="1"/>
  <c r="R194" i="1"/>
  <c r="G195" i="3" s="1"/>
  <c r="R195" i="1"/>
  <c r="R196" i="1"/>
  <c r="R197" i="1"/>
  <c r="G198" i="3" s="1"/>
  <c r="R198" i="1"/>
  <c r="G199" i="3" s="1"/>
  <c r="R199" i="1"/>
  <c r="R200" i="1"/>
  <c r="R201" i="1"/>
  <c r="R202" i="1"/>
  <c r="G203" i="3" s="1"/>
  <c r="R203" i="1"/>
  <c r="R204" i="1"/>
  <c r="R205" i="1"/>
  <c r="G206" i="3" s="1"/>
  <c r="R206" i="1"/>
  <c r="G207" i="3" s="1"/>
  <c r="R207" i="1"/>
  <c r="R208" i="1"/>
  <c r="R209" i="1"/>
  <c r="G210" i="3" s="1"/>
  <c r="R210" i="1"/>
  <c r="R211" i="1"/>
  <c r="G212" i="3" s="1"/>
  <c r="R212" i="1"/>
  <c r="G213" i="3" s="1"/>
  <c r="R213" i="1"/>
  <c r="G214" i="3" s="1"/>
  <c r="R214" i="1"/>
  <c r="G215" i="3" s="1"/>
  <c r="R215" i="1"/>
  <c r="R216" i="1"/>
  <c r="R217" i="1"/>
  <c r="R218" i="1"/>
  <c r="R219" i="1"/>
  <c r="R220" i="1"/>
  <c r="R221" i="1"/>
  <c r="G222" i="3" s="1"/>
  <c r="R222" i="1"/>
  <c r="R223" i="1"/>
  <c r="R224" i="1"/>
  <c r="R225" i="1"/>
  <c r="R226" i="1"/>
  <c r="G227" i="3" s="1"/>
  <c r="R227" i="1"/>
  <c r="R228" i="1"/>
  <c r="R229" i="1"/>
  <c r="R230" i="1"/>
  <c r="G231" i="3" s="1"/>
  <c r="R231" i="1"/>
  <c r="R232" i="1"/>
  <c r="R233" i="1"/>
  <c r="R234" i="1"/>
  <c r="R235" i="1"/>
  <c r="R236" i="1"/>
  <c r="G237" i="3" s="1"/>
  <c r="R237" i="1"/>
  <c r="R238" i="1"/>
  <c r="G239" i="3" s="1"/>
  <c r="R239" i="1"/>
  <c r="R240" i="1"/>
  <c r="R241" i="1"/>
  <c r="R242" i="1"/>
  <c r="R243" i="1"/>
  <c r="R244" i="1"/>
  <c r="R245" i="1"/>
  <c r="G246" i="3" s="1"/>
  <c r="R246" i="1"/>
  <c r="G247" i="3" s="1"/>
  <c r="R247" i="1"/>
  <c r="R248" i="1"/>
  <c r="R249" i="1"/>
  <c r="G250" i="3" s="1"/>
  <c r="R250" i="1"/>
  <c r="G251" i="3" s="1"/>
  <c r="R251" i="1"/>
  <c r="R252" i="1"/>
  <c r="R253" i="1"/>
  <c r="G254" i="3" s="1"/>
  <c r="R254" i="1"/>
  <c r="G255" i="3" s="1"/>
  <c r="R255" i="1"/>
  <c r="R256" i="1"/>
  <c r="G257" i="3" s="1"/>
  <c r="R257" i="1"/>
  <c r="G258" i="3" s="1"/>
  <c r="R258" i="1"/>
  <c r="G259" i="3" s="1"/>
  <c r="R259" i="1"/>
  <c r="R260" i="1"/>
  <c r="R261" i="1"/>
  <c r="G262" i="3" s="1"/>
  <c r="R262" i="1"/>
  <c r="R263" i="1"/>
  <c r="R264" i="1"/>
  <c r="R265" i="1"/>
  <c r="R266" i="1"/>
  <c r="R267" i="1"/>
  <c r="R268" i="1"/>
  <c r="R269" i="1"/>
  <c r="R270" i="1"/>
  <c r="G271" i="3" s="1"/>
  <c r="R271" i="1"/>
  <c r="R272" i="1"/>
  <c r="G273" i="3" s="1"/>
  <c r="R273" i="1"/>
  <c r="R274" i="1"/>
  <c r="G275" i="3" s="1"/>
  <c r="R275" i="1"/>
  <c r="R276" i="1"/>
  <c r="R277" i="1"/>
  <c r="G278" i="3" s="1"/>
  <c r="R278" i="1"/>
  <c r="R279" i="1"/>
  <c r="R280" i="1"/>
  <c r="G281" i="3" s="1"/>
  <c r="R281" i="1"/>
  <c r="G282" i="3" s="1"/>
  <c r="R282" i="1"/>
  <c r="R283" i="1"/>
  <c r="R284" i="1"/>
  <c r="R285" i="1"/>
  <c r="R286" i="1"/>
  <c r="G287" i="3" s="1"/>
  <c r="R287" i="1"/>
  <c r="R288" i="1"/>
  <c r="G289" i="3" s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G306" i="3" s="1"/>
  <c r="R306" i="1"/>
  <c r="G307" i="3" s="1"/>
  <c r="R307" i="1"/>
  <c r="R308" i="1"/>
  <c r="R309" i="1"/>
  <c r="R310" i="1"/>
  <c r="G311" i="3" s="1"/>
  <c r="R311" i="1"/>
  <c r="R312" i="1"/>
  <c r="R313" i="1"/>
  <c r="G314" i="3" s="1"/>
  <c r="R314" i="1"/>
  <c r="G315" i="3" s="1"/>
  <c r="R315" i="1"/>
  <c r="R316" i="1"/>
  <c r="R317" i="1"/>
  <c r="G318" i="3" s="1"/>
  <c r="R318" i="1"/>
  <c r="G319" i="3" s="1"/>
  <c r="R319" i="1"/>
  <c r="R320" i="1"/>
  <c r="R321" i="1"/>
  <c r="G322" i="3" s="1"/>
  <c r="R322" i="1"/>
  <c r="R323" i="1"/>
  <c r="R324" i="1"/>
  <c r="R325" i="1"/>
  <c r="G326" i="3" s="1"/>
  <c r="R326" i="1"/>
  <c r="R327" i="1"/>
  <c r="R328" i="1"/>
  <c r="R329" i="1"/>
  <c r="G330" i="3" s="1"/>
  <c r="R330" i="1"/>
  <c r="G331" i="3" s="1"/>
  <c r="R331" i="1"/>
  <c r="R332" i="1"/>
  <c r="R333" i="1"/>
  <c r="G334" i="3" s="1"/>
  <c r="R334" i="1"/>
  <c r="R335" i="1"/>
  <c r="R336" i="1"/>
  <c r="R337" i="1"/>
  <c r="G338" i="3" s="1"/>
  <c r="R338" i="1"/>
  <c r="R339" i="1"/>
  <c r="R340" i="1"/>
  <c r="R341" i="1"/>
  <c r="G342" i="3" s="1"/>
  <c r="R342" i="1"/>
  <c r="G343" i="3" s="1"/>
  <c r="R343" i="1"/>
  <c r="R344" i="1"/>
  <c r="R345" i="1"/>
  <c r="G346" i="3" s="1"/>
  <c r="R346" i="1"/>
  <c r="G347" i="3" s="1"/>
  <c r="R347" i="1"/>
  <c r="R348" i="1"/>
  <c r="R349" i="1"/>
  <c r="G350" i="3" s="1"/>
  <c r="R350" i="1"/>
  <c r="R351" i="1"/>
  <c r="G352" i="3" s="1"/>
  <c r="R352" i="1"/>
  <c r="R353" i="1"/>
  <c r="G354" i="3" s="1"/>
  <c r="R354" i="1"/>
  <c r="R355" i="1"/>
  <c r="R356" i="1"/>
  <c r="R357" i="1"/>
  <c r="G358" i="3" s="1"/>
  <c r="R358" i="1"/>
  <c r="G359" i="3" s="1"/>
  <c r="R359" i="1"/>
  <c r="R360" i="1"/>
  <c r="R361" i="1"/>
  <c r="R362" i="1"/>
  <c r="G363" i="3" s="1"/>
  <c r="R363" i="1"/>
  <c r="R364" i="1"/>
  <c r="R365" i="1"/>
  <c r="G366" i="3" s="1"/>
  <c r="R366" i="1"/>
  <c r="G367" i="3" s="1"/>
  <c r="R367" i="1"/>
  <c r="R368" i="1"/>
  <c r="G369" i="3" s="1"/>
  <c r="R369" i="1"/>
  <c r="G370" i="3" s="1"/>
  <c r="R370" i="1"/>
  <c r="G371" i="3" s="1"/>
  <c r="R371" i="1"/>
  <c r="R372" i="1"/>
  <c r="R373" i="1"/>
  <c r="R374" i="1"/>
  <c r="G375" i="3" s="1"/>
  <c r="R375" i="1"/>
  <c r="R376" i="1"/>
  <c r="G377" i="3" s="1"/>
  <c r="R377" i="1"/>
  <c r="G378" i="3" s="1"/>
  <c r="R378" i="1"/>
  <c r="G379" i="3" s="1"/>
  <c r="R379" i="1"/>
  <c r="R380" i="1"/>
  <c r="G381" i="3" s="1"/>
  <c r="R381" i="1"/>
  <c r="R382" i="1"/>
  <c r="G383" i="3" s="1"/>
  <c r="R383" i="1"/>
  <c r="R384" i="1"/>
  <c r="R385" i="1"/>
  <c r="R386" i="1"/>
  <c r="G387" i="3" s="1"/>
  <c r="R387" i="1"/>
  <c r="R388" i="1"/>
  <c r="G389" i="3" s="1"/>
  <c r="R389" i="1"/>
  <c r="R390" i="1"/>
  <c r="G391" i="3" s="1"/>
  <c r="R391" i="1"/>
  <c r="R392" i="1"/>
  <c r="R393" i="1"/>
  <c r="G394" i="3" s="1"/>
  <c r="R394" i="1"/>
  <c r="G395" i="3" s="1"/>
  <c r="R395" i="1"/>
  <c r="R396" i="1"/>
  <c r="R397" i="1"/>
  <c r="R398" i="1"/>
  <c r="G399" i="3" s="1"/>
  <c r="R399" i="1"/>
  <c r="R400" i="1"/>
  <c r="R401" i="1"/>
  <c r="G402" i="3" s="1"/>
  <c r="R402" i="1"/>
  <c r="G403" i="3" s="1"/>
  <c r="R403" i="1"/>
  <c r="R404" i="1"/>
  <c r="R405" i="1"/>
  <c r="G406" i="3" s="1"/>
  <c r="R406" i="1"/>
  <c r="G407" i="3" s="1"/>
  <c r="R407" i="1"/>
  <c r="G408" i="3" s="1"/>
  <c r="R408" i="1"/>
  <c r="R409" i="1"/>
  <c r="G410" i="3" s="1"/>
  <c r="R410" i="1"/>
  <c r="R411" i="1"/>
  <c r="R412" i="1"/>
  <c r="G413" i="3" s="1"/>
  <c r="R413" i="1"/>
  <c r="G414" i="3" s="1"/>
  <c r="R414" i="1"/>
  <c r="G415" i="3" s="1"/>
  <c r="R415" i="1"/>
  <c r="G416" i="3" s="1"/>
  <c r="R416" i="1"/>
  <c r="R417" i="1"/>
  <c r="G418" i="3" s="1"/>
  <c r="R418" i="1"/>
  <c r="G419" i="3" s="1"/>
  <c r="R419" i="1"/>
  <c r="R420" i="1"/>
  <c r="G421" i="3" s="1"/>
  <c r="R421" i="1"/>
  <c r="G422" i="3" s="1"/>
  <c r="R422" i="1"/>
  <c r="G423" i="3" s="1"/>
  <c r="R423" i="1"/>
  <c r="R424" i="1"/>
  <c r="R425" i="1"/>
  <c r="R426" i="1"/>
  <c r="G427" i="3" s="1"/>
  <c r="R427" i="1"/>
  <c r="R428" i="1"/>
  <c r="R429" i="1"/>
  <c r="G430" i="3" s="1"/>
  <c r="R430" i="1"/>
  <c r="G431" i="3" s="1"/>
  <c r="Q3" i="1"/>
  <c r="Q4" i="1"/>
  <c r="F5" i="3" s="1"/>
  <c r="Q5" i="1"/>
  <c r="F6" i="3" s="1"/>
  <c r="Q6" i="1"/>
  <c r="Q7" i="1"/>
  <c r="Q8" i="1"/>
  <c r="Q9" i="1"/>
  <c r="F10" i="3" s="1"/>
  <c r="Q10" i="1"/>
  <c r="F11" i="3" s="1"/>
  <c r="Q11" i="1"/>
  <c r="Q12" i="1"/>
  <c r="Q13" i="1"/>
  <c r="Q14" i="1"/>
  <c r="Q15" i="1"/>
  <c r="Q16" i="1"/>
  <c r="Q17" i="1"/>
  <c r="F18" i="3" s="1"/>
  <c r="Q18" i="1"/>
  <c r="Q19" i="1"/>
  <c r="Q20" i="1"/>
  <c r="Q21" i="1"/>
  <c r="F22" i="3" s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F36" i="3" s="1"/>
  <c r="Q36" i="1"/>
  <c r="F37" i="3" s="1"/>
  <c r="Q37" i="1"/>
  <c r="F38" i="3" s="1"/>
  <c r="Q38" i="1"/>
  <c r="Q39" i="1"/>
  <c r="Q40" i="1"/>
  <c r="Q41" i="1"/>
  <c r="F42" i="3" s="1"/>
  <c r="Q42" i="1"/>
  <c r="F43" i="3" s="1"/>
  <c r="Q43" i="1"/>
  <c r="Q44" i="1"/>
  <c r="Q45" i="1"/>
  <c r="Q46" i="1"/>
  <c r="Q47" i="1"/>
  <c r="Q48" i="1"/>
  <c r="Q49" i="1"/>
  <c r="F50" i="3" s="1"/>
  <c r="Q50" i="1"/>
  <c r="F51" i="3" s="1"/>
  <c r="Q51" i="1"/>
  <c r="F52" i="3" s="1"/>
  <c r="Q52" i="1"/>
  <c r="Q53" i="1"/>
  <c r="Q54" i="1"/>
  <c r="Q55" i="1"/>
  <c r="Q56" i="1"/>
  <c r="Q57" i="1"/>
  <c r="F58" i="3" s="1"/>
  <c r="Q58" i="1"/>
  <c r="F59" i="3" s="1"/>
  <c r="Q59" i="1"/>
  <c r="Q60" i="1"/>
  <c r="Q61" i="1"/>
  <c r="F62" i="3" s="1"/>
  <c r="Q62" i="1"/>
  <c r="Q63" i="1"/>
  <c r="Q64" i="1"/>
  <c r="Q65" i="1"/>
  <c r="Q66" i="1"/>
  <c r="Q67" i="1"/>
  <c r="Q68" i="1"/>
  <c r="Q69" i="1"/>
  <c r="F70" i="3" s="1"/>
  <c r="Q70" i="1"/>
  <c r="Q71" i="1"/>
  <c r="Q72" i="1"/>
  <c r="Q73" i="1"/>
  <c r="Q74" i="1"/>
  <c r="Q75" i="1"/>
  <c r="Q76" i="1"/>
  <c r="Q77" i="1"/>
  <c r="F78" i="3" s="1"/>
  <c r="Q78" i="1"/>
  <c r="Q79" i="1"/>
  <c r="Q80" i="1"/>
  <c r="Q81" i="1"/>
  <c r="Q82" i="1"/>
  <c r="Q83" i="1"/>
  <c r="F84" i="3" s="1"/>
  <c r="Q84" i="1"/>
  <c r="Q85" i="1"/>
  <c r="Q86" i="1"/>
  <c r="F87" i="3" s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F103" i="3" s="1"/>
  <c r="Q103" i="1"/>
  <c r="Q104" i="1"/>
  <c r="Q105" i="1"/>
  <c r="Q106" i="1"/>
  <c r="Q107" i="1"/>
  <c r="Q108" i="1"/>
  <c r="Q109" i="1"/>
  <c r="Q110" i="1"/>
  <c r="Q111" i="1"/>
  <c r="Q112" i="1"/>
  <c r="Q113" i="1"/>
  <c r="F114" i="3" s="1"/>
  <c r="Q114" i="1"/>
  <c r="Q115" i="1"/>
  <c r="Q116" i="1"/>
  <c r="Q117" i="1"/>
  <c r="Q118" i="1"/>
  <c r="F119" i="3" s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F134" i="3" s="1"/>
  <c r="Q134" i="1"/>
  <c r="Q135" i="1"/>
  <c r="Q136" i="1"/>
  <c r="Q137" i="1"/>
  <c r="F138" i="3" s="1"/>
  <c r="Q138" i="1"/>
  <c r="Q139" i="1"/>
  <c r="Q140" i="1"/>
  <c r="Q141" i="1"/>
  <c r="Q142" i="1"/>
  <c r="Q143" i="1"/>
  <c r="Q144" i="1"/>
  <c r="Q145" i="1"/>
  <c r="Q146" i="1"/>
  <c r="F147" i="3" s="1"/>
  <c r="Q147" i="1"/>
  <c r="Q148" i="1"/>
  <c r="F149" i="3" s="1"/>
  <c r="Q149" i="1"/>
  <c r="Q150" i="1"/>
  <c r="Q151" i="1"/>
  <c r="Q152" i="1"/>
  <c r="Q153" i="1"/>
  <c r="F154" i="3" s="1"/>
  <c r="Q154" i="1"/>
  <c r="Q155" i="1"/>
  <c r="Q156" i="1"/>
  <c r="Q157" i="1"/>
  <c r="F158" i="3" s="1"/>
  <c r="Q158" i="1"/>
  <c r="Q159" i="1"/>
  <c r="Q160" i="1"/>
  <c r="Q161" i="1"/>
  <c r="Q162" i="1"/>
  <c r="Q163" i="1"/>
  <c r="Q164" i="1"/>
  <c r="F165" i="3" s="1"/>
  <c r="Q165" i="1"/>
  <c r="F166" i="3" s="1"/>
  <c r="Q166" i="1"/>
  <c r="Q167" i="1"/>
  <c r="Q168" i="1"/>
  <c r="F169" i="3" s="1"/>
  <c r="Q169" i="1"/>
  <c r="Q170" i="1"/>
  <c r="Q171" i="1"/>
  <c r="Q172" i="1"/>
  <c r="Q173" i="1"/>
  <c r="F174" i="3" s="1"/>
  <c r="Q174" i="1"/>
  <c r="Q175" i="1"/>
  <c r="Q176" i="1"/>
  <c r="Q177" i="1"/>
  <c r="F178" i="3" s="1"/>
  <c r="Q178" i="1"/>
  <c r="F179" i="3" s="1"/>
  <c r="Q179" i="1"/>
  <c r="Q180" i="1"/>
  <c r="F181" i="3" s="1"/>
  <c r="Q181" i="1"/>
  <c r="Q182" i="1"/>
  <c r="Q183" i="1"/>
  <c r="Q184" i="1"/>
  <c r="Q185" i="1"/>
  <c r="Q186" i="1"/>
  <c r="Q187" i="1"/>
  <c r="Q188" i="1"/>
  <c r="F189" i="3" s="1"/>
  <c r="Q189" i="1"/>
  <c r="F190" i="3" s="1"/>
  <c r="Q190" i="1"/>
  <c r="F191" i="3" s="1"/>
  <c r="Q191" i="1"/>
  <c r="Q192" i="1"/>
  <c r="Q193" i="1"/>
  <c r="F194" i="3" s="1"/>
  <c r="Q194" i="1"/>
  <c r="F195" i="3" s="1"/>
  <c r="Q195" i="1"/>
  <c r="Q196" i="1"/>
  <c r="Q197" i="1"/>
  <c r="F198" i="3" s="1"/>
  <c r="Q198" i="1"/>
  <c r="F199" i="3" s="1"/>
  <c r="Q199" i="1"/>
  <c r="Q200" i="1"/>
  <c r="Q201" i="1"/>
  <c r="Q202" i="1"/>
  <c r="Q203" i="1"/>
  <c r="Q204" i="1"/>
  <c r="Q205" i="1"/>
  <c r="F206" i="3" s="1"/>
  <c r="Q206" i="1"/>
  <c r="F207" i="3" s="1"/>
  <c r="Q207" i="1"/>
  <c r="Q208" i="1"/>
  <c r="Q209" i="1"/>
  <c r="F210" i="3" s="1"/>
  <c r="Q210" i="1"/>
  <c r="Q211" i="1"/>
  <c r="F212" i="3" s="1"/>
  <c r="Q212" i="1"/>
  <c r="F213" i="3" s="1"/>
  <c r="Q213" i="1"/>
  <c r="F214" i="3" s="1"/>
  <c r="Q214" i="1"/>
  <c r="F215" i="3" s="1"/>
  <c r="Q215" i="1"/>
  <c r="Q216" i="1"/>
  <c r="Q217" i="1"/>
  <c r="Q218" i="1"/>
  <c r="Q219" i="1"/>
  <c r="Q220" i="1"/>
  <c r="Q221" i="1"/>
  <c r="F222" i="3" s="1"/>
  <c r="Q222" i="1"/>
  <c r="Q223" i="1"/>
  <c r="Q224" i="1"/>
  <c r="Q225" i="1"/>
  <c r="Q226" i="1"/>
  <c r="F227" i="3" s="1"/>
  <c r="Q227" i="1"/>
  <c r="Q228" i="1"/>
  <c r="Q229" i="1"/>
  <c r="Q230" i="1"/>
  <c r="Q231" i="1"/>
  <c r="Q232" i="1"/>
  <c r="Q233" i="1"/>
  <c r="Q234" i="1"/>
  <c r="Q235" i="1"/>
  <c r="Q236" i="1"/>
  <c r="F237" i="3" s="1"/>
  <c r="Q237" i="1"/>
  <c r="Q238" i="1"/>
  <c r="Q239" i="1"/>
  <c r="Q240" i="1"/>
  <c r="F241" i="3" s="1"/>
  <c r="Q241" i="1"/>
  <c r="Q242" i="1"/>
  <c r="Q243" i="1"/>
  <c r="Q244" i="1"/>
  <c r="Q245" i="1"/>
  <c r="F246" i="3" s="1"/>
  <c r="Q246" i="1"/>
  <c r="F247" i="3" s="1"/>
  <c r="Q247" i="1"/>
  <c r="Q248" i="1"/>
  <c r="Q249" i="1"/>
  <c r="F250" i="3" s="1"/>
  <c r="Q250" i="1"/>
  <c r="Q251" i="1"/>
  <c r="Q252" i="1"/>
  <c r="F253" i="3" s="1"/>
  <c r="Q253" i="1"/>
  <c r="F254" i="3" s="1"/>
  <c r="Q254" i="1"/>
  <c r="Q255" i="1"/>
  <c r="Q256" i="1"/>
  <c r="F257" i="3" s="1"/>
  <c r="Q257" i="1"/>
  <c r="F258" i="3" s="1"/>
  <c r="Q258" i="1"/>
  <c r="F259" i="3" s="1"/>
  <c r="Q259" i="1"/>
  <c r="Q260" i="1"/>
  <c r="Q261" i="1"/>
  <c r="F262" i="3" s="1"/>
  <c r="Q262" i="1"/>
  <c r="Q263" i="1"/>
  <c r="Q264" i="1"/>
  <c r="Q265" i="1"/>
  <c r="Q266" i="1"/>
  <c r="Q267" i="1"/>
  <c r="Q268" i="1"/>
  <c r="Q269" i="1"/>
  <c r="Q270" i="1"/>
  <c r="F271" i="3" s="1"/>
  <c r="Q271" i="1"/>
  <c r="Q272" i="1"/>
  <c r="F273" i="3" s="1"/>
  <c r="Q273" i="1"/>
  <c r="Q274" i="1"/>
  <c r="F275" i="3" s="1"/>
  <c r="Q275" i="1"/>
  <c r="Q276" i="1"/>
  <c r="Q277" i="1"/>
  <c r="F278" i="3" s="1"/>
  <c r="Q278" i="1"/>
  <c r="Q279" i="1"/>
  <c r="Q280" i="1"/>
  <c r="F281" i="3" s="1"/>
  <c r="Q281" i="1"/>
  <c r="F282" i="3" s="1"/>
  <c r="Q282" i="1"/>
  <c r="Q283" i="1"/>
  <c r="Q284" i="1"/>
  <c r="Q285" i="1"/>
  <c r="Q286" i="1"/>
  <c r="Q287" i="1"/>
  <c r="Q288" i="1"/>
  <c r="F289" i="3" s="1"/>
  <c r="Q289" i="1"/>
  <c r="Q290" i="1"/>
  <c r="Q291" i="1"/>
  <c r="Q292" i="1"/>
  <c r="F293" i="3" s="1"/>
  <c r="Q293" i="1"/>
  <c r="Q294" i="1"/>
  <c r="Q295" i="1"/>
  <c r="Q296" i="1"/>
  <c r="Q297" i="1"/>
  <c r="Q298" i="1"/>
  <c r="Q299" i="1"/>
  <c r="Q300" i="1"/>
  <c r="F301" i="3" s="1"/>
  <c r="Q301" i="1"/>
  <c r="Q302" i="1"/>
  <c r="Q303" i="1"/>
  <c r="Q304" i="1"/>
  <c r="Q305" i="1"/>
  <c r="F306" i="3" s="1"/>
  <c r="Q306" i="1"/>
  <c r="F307" i="3" s="1"/>
  <c r="Q307" i="1"/>
  <c r="Q308" i="1"/>
  <c r="Q309" i="1"/>
  <c r="Q310" i="1"/>
  <c r="F311" i="3" s="1"/>
  <c r="Q311" i="1"/>
  <c r="Q312" i="1"/>
  <c r="Q313" i="1"/>
  <c r="F314" i="3" s="1"/>
  <c r="Q314" i="1"/>
  <c r="F315" i="3" s="1"/>
  <c r="Q315" i="1"/>
  <c r="Q316" i="1"/>
  <c r="Q317" i="1"/>
  <c r="F318" i="3" s="1"/>
  <c r="Q318" i="1"/>
  <c r="F319" i="3" s="1"/>
  <c r="Q319" i="1"/>
  <c r="Q320" i="1"/>
  <c r="Q321" i="1"/>
  <c r="F322" i="3" s="1"/>
  <c r="Q322" i="1"/>
  <c r="Q323" i="1"/>
  <c r="Q324" i="1"/>
  <c r="Q325" i="1"/>
  <c r="F326" i="3" s="1"/>
  <c r="Q326" i="1"/>
  <c r="Q327" i="1"/>
  <c r="Q328" i="1"/>
  <c r="F329" i="3" s="1"/>
  <c r="Q329" i="1"/>
  <c r="F330" i="3" s="1"/>
  <c r="Q330" i="1"/>
  <c r="F331" i="3" s="1"/>
  <c r="Q331" i="1"/>
  <c r="Q332" i="1"/>
  <c r="Q333" i="1"/>
  <c r="F334" i="3" s="1"/>
  <c r="Q334" i="1"/>
  <c r="Q335" i="1"/>
  <c r="Q336" i="1"/>
  <c r="Q337" i="1"/>
  <c r="F338" i="3" s="1"/>
  <c r="Q338" i="1"/>
  <c r="Q339" i="1"/>
  <c r="Q340" i="1"/>
  <c r="Q341" i="1"/>
  <c r="F342" i="3" s="1"/>
  <c r="Q342" i="1"/>
  <c r="F343" i="3" s="1"/>
  <c r="Q343" i="1"/>
  <c r="Q344" i="1"/>
  <c r="Q345" i="1"/>
  <c r="F346" i="3" s="1"/>
  <c r="Q346" i="1"/>
  <c r="F347" i="3" s="1"/>
  <c r="Q347" i="1"/>
  <c r="Q348" i="1"/>
  <c r="Q349" i="1"/>
  <c r="F350" i="3" s="1"/>
  <c r="Q350" i="1"/>
  <c r="Q351" i="1"/>
  <c r="F352" i="3" s="1"/>
  <c r="Q352" i="1"/>
  <c r="F353" i="3" s="1"/>
  <c r="Q353" i="1"/>
  <c r="F354" i="3" s="1"/>
  <c r="Q354" i="1"/>
  <c r="Q355" i="1"/>
  <c r="Q356" i="1"/>
  <c r="Q357" i="1"/>
  <c r="F358" i="3" s="1"/>
  <c r="Q358" i="1"/>
  <c r="F359" i="3" s="1"/>
  <c r="Q359" i="1"/>
  <c r="Q360" i="1"/>
  <c r="Q361" i="1"/>
  <c r="Q362" i="1"/>
  <c r="F363" i="3" s="1"/>
  <c r="Q363" i="1"/>
  <c r="F364" i="3" s="1"/>
  <c r="Q364" i="1"/>
  <c r="Q365" i="1"/>
  <c r="F366" i="3" s="1"/>
  <c r="Q366" i="1"/>
  <c r="F367" i="3" s="1"/>
  <c r="Q367" i="1"/>
  <c r="Q368" i="1"/>
  <c r="F369" i="3" s="1"/>
  <c r="Q369" i="1"/>
  <c r="F370" i="3" s="1"/>
  <c r="Q370" i="1"/>
  <c r="F371" i="3" s="1"/>
  <c r="Q371" i="1"/>
  <c r="Q372" i="1"/>
  <c r="Q373" i="1"/>
  <c r="Q374" i="1"/>
  <c r="F375" i="3" s="1"/>
  <c r="Q375" i="1"/>
  <c r="Q376" i="1"/>
  <c r="F377" i="3" s="1"/>
  <c r="Q377" i="1"/>
  <c r="F378" i="3" s="1"/>
  <c r="Q378" i="1"/>
  <c r="F379" i="3" s="1"/>
  <c r="Q379" i="1"/>
  <c r="Q380" i="1"/>
  <c r="F381" i="3" s="1"/>
  <c r="Q381" i="1"/>
  <c r="Q382" i="1"/>
  <c r="F383" i="3" s="1"/>
  <c r="Q383" i="1"/>
  <c r="Q384" i="1"/>
  <c r="Q385" i="1"/>
  <c r="Q386" i="1"/>
  <c r="Q387" i="1"/>
  <c r="Q388" i="1"/>
  <c r="F389" i="3" s="1"/>
  <c r="Q389" i="1"/>
  <c r="Q390" i="1"/>
  <c r="Q391" i="1"/>
  <c r="Q392" i="1"/>
  <c r="F393" i="3" s="1"/>
  <c r="Q393" i="1"/>
  <c r="F394" i="3" s="1"/>
  <c r="Q394" i="1"/>
  <c r="F395" i="3" s="1"/>
  <c r="Q395" i="1"/>
  <c r="Q396" i="1"/>
  <c r="Q397" i="1"/>
  <c r="Q398" i="1"/>
  <c r="F399" i="3" s="1"/>
  <c r="Q399" i="1"/>
  <c r="Q400" i="1"/>
  <c r="Q401" i="1"/>
  <c r="F402" i="3" s="1"/>
  <c r="Q402" i="1"/>
  <c r="F403" i="3" s="1"/>
  <c r="Q403" i="1"/>
  <c r="Q404" i="1"/>
  <c r="Q405" i="1"/>
  <c r="F406" i="3" s="1"/>
  <c r="Q406" i="1"/>
  <c r="F407" i="3" s="1"/>
  <c r="Q407" i="1"/>
  <c r="F408" i="3" s="1"/>
  <c r="Q408" i="1"/>
  <c r="F409" i="3" s="1"/>
  <c r="Q409" i="1"/>
  <c r="F410" i="3" s="1"/>
  <c r="Q410" i="1"/>
  <c r="Q411" i="1"/>
  <c r="Q412" i="1"/>
  <c r="F413" i="3" s="1"/>
  <c r="Q413" i="1"/>
  <c r="F414" i="3" s="1"/>
  <c r="Q414" i="1"/>
  <c r="Q415" i="1"/>
  <c r="F416" i="3" s="1"/>
  <c r="Q416" i="1"/>
  <c r="Q417" i="1"/>
  <c r="F418" i="3" s="1"/>
  <c r="Q418" i="1"/>
  <c r="Q419" i="1"/>
  <c r="F420" i="3" s="1"/>
  <c r="Q420" i="1"/>
  <c r="F421" i="3" s="1"/>
  <c r="Q421" i="1"/>
  <c r="F422" i="3" s="1"/>
  <c r="Q422" i="1"/>
  <c r="Q423" i="1"/>
  <c r="Q424" i="1"/>
  <c r="F425" i="3" s="1"/>
  <c r="Q425" i="1"/>
  <c r="Q426" i="1"/>
  <c r="F427" i="3" s="1"/>
  <c r="Q427" i="1"/>
  <c r="Q428" i="1"/>
  <c r="Q429" i="1"/>
  <c r="F430" i="3" s="1"/>
  <c r="Q430" i="1"/>
  <c r="F431" i="3" s="1"/>
  <c r="P4" i="1"/>
  <c r="P5" i="1"/>
  <c r="E6" i="3" s="1"/>
  <c r="P6" i="1"/>
  <c r="E7" i="3" s="1"/>
  <c r="P7" i="1"/>
  <c r="P8" i="1"/>
  <c r="P9" i="1"/>
  <c r="P10" i="1"/>
  <c r="P11" i="1"/>
  <c r="P12" i="1"/>
  <c r="P13" i="1"/>
  <c r="P14" i="1"/>
  <c r="E15" i="3" s="1"/>
  <c r="P15" i="1"/>
  <c r="P16" i="1"/>
  <c r="P17" i="1"/>
  <c r="P18" i="1"/>
  <c r="E19" i="3" s="1"/>
  <c r="P19" i="1"/>
  <c r="E20" i="3" s="1"/>
  <c r="P20" i="1"/>
  <c r="P21" i="1"/>
  <c r="E22" i="3" s="1"/>
  <c r="P22" i="1"/>
  <c r="P23" i="1"/>
  <c r="P24" i="1"/>
  <c r="P25" i="1"/>
  <c r="P26" i="1"/>
  <c r="E27" i="3" s="1"/>
  <c r="P27" i="1"/>
  <c r="P28" i="1"/>
  <c r="P29" i="1"/>
  <c r="P30" i="1"/>
  <c r="P31" i="1"/>
  <c r="P32" i="1"/>
  <c r="P33" i="1"/>
  <c r="P34" i="1"/>
  <c r="E35" i="3" s="1"/>
  <c r="P35" i="1"/>
  <c r="E36" i="3" s="1"/>
  <c r="P36" i="1"/>
  <c r="P37" i="1"/>
  <c r="E38" i="3" s="1"/>
  <c r="P38" i="1"/>
  <c r="P39" i="1"/>
  <c r="E40" i="3" s="1"/>
  <c r="P40" i="1"/>
  <c r="P41" i="1"/>
  <c r="P42" i="1"/>
  <c r="P43" i="1"/>
  <c r="E44" i="3" s="1"/>
  <c r="P44" i="1"/>
  <c r="P45" i="1"/>
  <c r="P46" i="1"/>
  <c r="P47" i="1"/>
  <c r="P48" i="1"/>
  <c r="P49" i="1"/>
  <c r="P50" i="1"/>
  <c r="P51" i="1"/>
  <c r="E52" i="3" s="1"/>
  <c r="P52" i="1"/>
  <c r="P53" i="1"/>
  <c r="P54" i="1"/>
  <c r="P55" i="1"/>
  <c r="P56" i="1"/>
  <c r="P57" i="1"/>
  <c r="P58" i="1"/>
  <c r="E59" i="3" s="1"/>
  <c r="P59" i="1"/>
  <c r="P60" i="1"/>
  <c r="P61" i="1"/>
  <c r="P62" i="1"/>
  <c r="E63" i="3" s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E76" i="3" s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E92" i="3" s="1"/>
  <c r="P92" i="1"/>
  <c r="P93" i="1"/>
  <c r="P94" i="1"/>
  <c r="P95" i="1"/>
  <c r="E96" i="3" s="1"/>
  <c r="P96" i="1"/>
  <c r="P97" i="1"/>
  <c r="P98" i="1"/>
  <c r="P99" i="1"/>
  <c r="E100" i="3" s="1"/>
  <c r="P100" i="1"/>
  <c r="P101" i="1"/>
  <c r="P102" i="1"/>
  <c r="P103" i="1"/>
  <c r="P104" i="1"/>
  <c r="P105" i="1"/>
  <c r="P106" i="1"/>
  <c r="P107" i="1"/>
  <c r="P108" i="1"/>
  <c r="P109" i="1"/>
  <c r="P110" i="1"/>
  <c r="P111" i="1"/>
  <c r="E112" i="3" s="1"/>
  <c r="P112" i="1"/>
  <c r="P113" i="1"/>
  <c r="E114" i="3" s="1"/>
  <c r="P114" i="1"/>
  <c r="P115" i="1"/>
  <c r="E116" i="3" s="1"/>
  <c r="P116" i="1"/>
  <c r="P117" i="1"/>
  <c r="P118" i="1"/>
  <c r="E119" i="3" s="1"/>
  <c r="P119" i="1"/>
  <c r="P120" i="1"/>
  <c r="P121" i="1"/>
  <c r="P122" i="1"/>
  <c r="P123" i="1"/>
  <c r="P124" i="1"/>
  <c r="P125" i="1"/>
  <c r="P126" i="1"/>
  <c r="E127" i="3" s="1"/>
  <c r="P127" i="1"/>
  <c r="E128" i="3" s="1"/>
  <c r="P128" i="1"/>
  <c r="P129" i="1"/>
  <c r="P130" i="1"/>
  <c r="P131" i="1"/>
  <c r="P132" i="1"/>
  <c r="P133" i="1"/>
  <c r="P134" i="1"/>
  <c r="P135" i="1"/>
  <c r="E136" i="3" s="1"/>
  <c r="P136" i="1"/>
  <c r="P137" i="1"/>
  <c r="P138" i="1"/>
  <c r="P139" i="1"/>
  <c r="P140" i="1"/>
  <c r="P141" i="1"/>
  <c r="P142" i="1"/>
  <c r="P143" i="1"/>
  <c r="E144" i="3" s="1"/>
  <c r="P144" i="1"/>
  <c r="P145" i="1"/>
  <c r="P146" i="1"/>
  <c r="E147" i="3" s="1"/>
  <c r="P147" i="1"/>
  <c r="P148" i="1"/>
  <c r="P149" i="1"/>
  <c r="P150" i="1"/>
  <c r="P151" i="1"/>
  <c r="P152" i="1"/>
  <c r="P153" i="1"/>
  <c r="P154" i="1"/>
  <c r="P155" i="1"/>
  <c r="P156" i="1"/>
  <c r="P157" i="1"/>
  <c r="E158" i="3" s="1"/>
  <c r="P158" i="1"/>
  <c r="E159" i="3" s="1"/>
  <c r="P159" i="1"/>
  <c r="E160" i="3" s="1"/>
  <c r="P160" i="1"/>
  <c r="P161" i="1"/>
  <c r="P162" i="1"/>
  <c r="P163" i="1"/>
  <c r="E164" i="3" s="1"/>
  <c r="P164" i="1"/>
  <c r="E165" i="3" s="1"/>
  <c r="P165" i="1"/>
  <c r="P166" i="1"/>
  <c r="E167" i="3" s="1"/>
  <c r="P167" i="1"/>
  <c r="E168" i="3" s="1"/>
  <c r="P168" i="1"/>
  <c r="P169" i="1"/>
  <c r="P170" i="1"/>
  <c r="P171" i="1"/>
  <c r="E172" i="3" s="1"/>
  <c r="P172" i="1"/>
  <c r="P173" i="1"/>
  <c r="P174" i="1"/>
  <c r="P175" i="1"/>
  <c r="E176" i="3" s="1"/>
  <c r="P176" i="1"/>
  <c r="P177" i="1"/>
  <c r="P178" i="1"/>
  <c r="P179" i="1"/>
  <c r="E180" i="3" s="1"/>
  <c r="P180" i="1"/>
  <c r="P181" i="1"/>
  <c r="P182" i="1"/>
  <c r="P183" i="1"/>
  <c r="E184" i="3" s="1"/>
  <c r="P184" i="1"/>
  <c r="P185" i="1"/>
  <c r="P186" i="1"/>
  <c r="E187" i="3" s="1"/>
  <c r="P187" i="1"/>
  <c r="E188" i="3" s="1"/>
  <c r="P188" i="1"/>
  <c r="P189" i="1"/>
  <c r="P190" i="1"/>
  <c r="P191" i="1"/>
  <c r="E192" i="3" s="1"/>
  <c r="P192" i="1"/>
  <c r="P193" i="1"/>
  <c r="E194" i="3" s="1"/>
  <c r="P194" i="1"/>
  <c r="E195" i="3" s="1"/>
  <c r="P195" i="1"/>
  <c r="E196" i="3" s="1"/>
  <c r="P196" i="1"/>
  <c r="P197" i="1"/>
  <c r="E198" i="3" s="1"/>
  <c r="P198" i="1"/>
  <c r="E199" i="3" s="1"/>
  <c r="P199" i="1"/>
  <c r="E200" i="3" s="1"/>
  <c r="P200" i="1"/>
  <c r="P201" i="1"/>
  <c r="P202" i="1"/>
  <c r="P203" i="1"/>
  <c r="E204" i="3" s="1"/>
  <c r="P204" i="1"/>
  <c r="P205" i="1"/>
  <c r="P206" i="1"/>
  <c r="P207" i="1"/>
  <c r="E208" i="3" s="1"/>
  <c r="P208" i="1"/>
  <c r="P209" i="1"/>
  <c r="E210" i="3" s="1"/>
  <c r="P210" i="1"/>
  <c r="P211" i="1"/>
  <c r="E212" i="3" s="1"/>
  <c r="P212" i="1"/>
  <c r="P213" i="1"/>
  <c r="E214" i="3" s="1"/>
  <c r="P214" i="1"/>
  <c r="E215" i="3" s="1"/>
  <c r="P215" i="1"/>
  <c r="E216" i="3" s="1"/>
  <c r="P216" i="1"/>
  <c r="P217" i="1"/>
  <c r="P218" i="1"/>
  <c r="P219" i="1"/>
  <c r="E220" i="3" s="1"/>
  <c r="P220" i="1"/>
  <c r="P221" i="1"/>
  <c r="P222" i="1"/>
  <c r="P223" i="1"/>
  <c r="P224" i="1"/>
  <c r="P225" i="1"/>
  <c r="P226" i="1"/>
  <c r="E227" i="3" s="1"/>
  <c r="P227" i="1"/>
  <c r="E228" i="3" s="1"/>
  <c r="P228" i="1"/>
  <c r="P229" i="1"/>
  <c r="P230" i="1"/>
  <c r="E231" i="3" s="1"/>
  <c r="P231" i="1"/>
  <c r="E232" i="3" s="1"/>
  <c r="P232" i="1"/>
  <c r="P233" i="1"/>
  <c r="P234" i="1"/>
  <c r="E235" i="3" s="1"/>
  <c r="P235" i="1"/>
  <c r="P236" i="1"/>
  <c r="E237" i="3" s="1"/>
  <c r="P237" i="1"/>
  <c r="P238" i="1"/>
  <c r="E239" i="3" s="1"/>
  <c r="P239" i="1"/>
  <c r="P240" i="1"/>
  <c r="P241" i="1"/>
  <c r="P242" i="1"/>
  <c r="P243" i="1"/>
  <c r="P244" i="1"/>
  <c r="P245" i="1"/>
  <c r="P246" i="1"/>
  <c r="E247" i="3" s="1"/>
  <c r="P247" i="1"/>
  <c r="E248" i="3" s="1"/>
  <c r="P248" i="1"/>
  <c r="P249" i="1"/>
  <c r="P250" i="1"/>
  <c r="E251" i="3" s="1"/>
  <c r="P251" i="1"/>
  <c r="P252" i="1"/>
  <c r="P253" i="1"/>
  <c r="P254" i="1"/>
  <c r="P255" i="1"/>
  <c r="E256" i="3" s="1"/>
  <c r="P256" i="1"/>
  <c r="P257" i="1"/>
  <c r="P258" i="1"/>
  <c r="P259" i="1"/>
  <c r="E260" i="3" s="1"/>
  <c r="P260" i="1"/>
  <c r="P261" i="1"/>
  <c r="P262" i="1"/>
  <c r="P263" i="1"/>
  <c r="P264" i="1"/>
  <c r="P265" i="1"/>
  <c r="P266" i="1"/>
  <c r="P267" i="1"/>
  <c r="E268" i="3" s="1"/>
  <c r="P268" i="1"/>
  <c r="P269" i="1"/>
  <c r="P270" i="1"/>
  <c r="E271" i="3" s="1"/>
  <c r="P271" i="1"/>
  <c r="P272" i="1"/>
  <c r="P273" i="1"/>
  <c r="P274" i="1"/>
  <c r="E275" i="3" s="1"/>
  <c r="P275" i="1"/>
  <c r="P276" i="1"/>
  <c r="P277" i="1"/>
  <c r="E278" i="3" s="1"/>
  <c r="P278" i="1"/>
  <c r="E279" i="3" s="1"/>
  <c r="P279" i="1"/>
  <c r="P280" i="1"/>
  <c r="E281" i="3" s="1"/>
  <c r="P281" i="1"/>
  <c r="P282" i="1"/>
  <c r="E283" i="3" s="1"/>
  <c r="P283" i="1"/>
  <c r="P284" i="1"/>
  <c r="P285" i="1"/>
  <c r="P286" i="1"/>
  <c r="P287" i="1"/>
  <c r="E288" i="3" s="1"/>
  <c r="P288" i="1"/>
  <c r="P289" i="1"/>
  <c r="P290" i="1"/>
  <c r="P291" i="1"/>
  <c r="P292" i="1"/>
  <c r="P293" i="1"/>
  <c r="P294" i="1"/>
  <c r="E295" i="3" s="1"/>
  <c r="P295" i="1"/>
  <c r="E296" i="3" s="1"/>
  <c r="P296" i="1"/>
  <c r="P297" i="1"/>
  <c r="P298" i="1"/>
  <c r="E299" i="3" s="1"/>
  <c r="P299" i="1"/>
  <c r="E300" i="3" s="1"/>
  <c r="P300" i="1"/>
  <c r="P301" i="1"/>
  <c r="P302" i="1"/>
  <c r="P303" i="1"/>
  <c r="E304" i="3" s="1"/>
  <c r="P304" i="1"/>
  <c r="P305" i="1"/>
  <c r="P306" i="1"/>
  <c r="E307" i="3" s="1"/>
  <c r="P307" i="1"/>
  <c r="E308" i="3" s="1"/>
  <c r="P308" i="1"/>
  <c r="P309" i="1"/>
  <c r="P310" i="1"/>
  <c r="E311" i="3" s="1"/>
  <c r="P311" i="1"/>
  <c r="E312" i="3" s="1"/>
  <c r="P312" i="1"/>
  <c r="P313" i="1"/>
  <c r="E314" i="3" s="1"/>
  <c r="P314" i="1"/>
  <c r="E315" i="3" s="1"/>
  <c r="P315" i="1"/>
  <c r="E316" i="3" s="1"/>
  <c r="P316" i="1"/>
  <c r="P317" i="1"/>
  <c r="E318" i="3" s="1"/>
  <c r="P318" i="1"/>
  <c r="E319" i="3" s="1"/>
  <c r="P319" i="1"/>
  <c r="E320" i="3" s="1"/>
  <c r="P320" i="1"/>
  <c r="P321" i="1"/>
  <c r="E322" i="3" s="1"/>
  <c r="P322" i="1"/>
  <c r="E323" i="3" s="1"/>
  <c r="P323" i="1"/>
  <c r="P324" i="1"/>
  <c r="P325" i="1"/>
  <c r="E326" i="3" s="1"/>
  <c r="P326" i="1"/>
  <c r="P327" i="1"/>
  <c r="E328" i="3" s="1"/>
  <c r="P328" i="1"/>
  <c r="P329" i="1"/>
  <c r="P330" i="1"/>
  <c r="E331" i="3" s="1"/>
  <c r="P331" i="1"/>
  <c r="E332" i="3" s="1"/>
  <c r="P332" i="1"/>
  <c r="P333" i="1"/>
  <c r="E334" i="3" s="1"/>
  <c r="P334" i="1"/>
  <c r="E335" i="3" s="1"/>
  <c r="P335" i="1"/>
  <c r="E336" i="3" s="1"/>
  <c r="P336" i="1"/>
  <c r="P337" i="1"/>
  <c r="E338" i="3" s="1"/>
  <c r="P338" i="1"/>
  <c r="E339" i="3" s="1"/>
  <c r="P339" i="1"/>
  <c r="P340" i="1"/>
  <c r="P341" i="1"/>
  <c r="P342" i="1"/>
  <c r="E343" i="3" s="1"/>
  <c r="P343" i="1"/>
  <c r="P344" i="1"/>
  <c r="P345" i="1"/>
  <c r="E346" i="3" s="1"/>
  <c r="P346" i="1"/>
  <c r="E347" i="3" s="1"/>
  <c r="P347" i="1"/>
  <c r="P348" i="1"/>
  <c r="P349" i="1"/>
  <c r="P350" i="1"/>
  <c r="P351" i="1"/>
  <c r="E352" i="3" s="1"/>
  <c r="P352" i="1"/>
  <c r="P353" i="1"/>
  <c r="E354" i="3" s="1"/>
  <c r="P354" i="1"/>
  <c r="E355" i="3" s="1"/>
  <c r="P355" i="1"/>
  <c r="P356" i="1"/>
  <c r="P357" i="1"/>
  <c r="P358" i="1"/>
  <c r="E359" i="3" s="1"/>
  <c r="P359" i="1"/>
  <c r="E360" i="3" s="1"/>
  <c r="P360" i="1"/>
  <c r="P361" i="1"/>
  <c r="P362" i="1"/>
  <c r="E363" i="3" s="1"/>
  <c r="P363" i="1"/>
  <c r="E364" i="3" s="1"/>
  <c r="P364" i="1"/>
  <c r="P365" i="1"/>
  <c r="E366" i="3" s="1"/>
  <c r="P366" i="1"/>
  <c r="E367" i="3" s="1"/>
  <c r="P367" i="1"/>
  <c r="E368" i="3" s="1"/>
  <c r="P368" i="1"/>
  <c r="P369" i="1"/>
  <c r="E370" i="3" s="1"/>
  <c r="P370" i="1"/>
  <c r="P371" i="1"/>
  <c r="E372" i="3" s="1"/>
  <c r="P372" i="1"/>
  <c r="P373" i="1"/>
  <c r="P374" i="1"/>
  <c r="E375" i="3" s="1"/>
  <c r="P375" i="1"/>
  <c r="E376" i="3" s="1"/>
  <c r="P376" i="1"/>
  <c r="P377" i="1"/>
  <c r="P378" i="1"/>
  <c r="E379" i="3" s="1"/>
  <c r="P379" i="1"/>
  <c r="E380" i="3" s="1"/>
  <c r="P380" i="1"/>
  <c r="E381" i="3" s="1"/>
  <c r="P381" i="1"/>
  <c r="P382" i="1"/>
  <c r="E243" i="3" s="1"/>
  <c r="P383" i="1"/>
  <c r="E384" i="3" s="1"/>
  <c r="P384" i="1"/>
  <c r="P385" i="1"/>
  <c r="P386" i="1"/>
  <c r="E387" i="3" s="1"/>
  <c r="P387" i="1"/>
  <c r="E388" i="3" s="1"/>
  <c r="P388" i="1"/>
  <c r="P389" i="1"/>
  <c r="P390" i="1"/>
  <c r="E391" i="3" s="1"/>
  <c r="P391" i="1"/>
  <c r="E392" i="3" s="1"/>
  <c r="P392" i="1"/>
  <c r="P393" i="1"/>
  <c r="P394" i="1"/>
  <c r="P395" i="1"/>
  <c r="P396" i="1"/>
  <c r="P397" i="1"/>
  <c r="P398" i="1"/>
  <c r="E399" i="3" s="1"/>
  <c r="P399" i="1"/>
  <c r="P400" i="1"/>
  <c r="P401" i="1"/>
  <c r="P402" i="1"/>
  <c r="E403" i="3" s="1"/>
  <c r="P403" i="1"/>
  <c r="E404" i="3" s="1"/>
  <c r="P404" i="1"/>
  <c r="P405" i="1"/>
  <c r="P406" i="1"/>
  <c r="E407" i="3" s="1"/>
  <c r="P407" i="1"/>
  <c r="E408" i="3" s="1"/>
  <c r="P408" i="1"/>
  <c r="P409" i="1"/>
  <c r="P410" i="1"/>
  <c r="E411" i="3" s="1"/>
  <c r="P411" i="1"/>
  <c r="E412" i="3" s="1"/>
  <c r="P412" i="1"/>
  <c r="E413" i="3" s="1"/>
  <c r="P413" i="1"/>
  <c r="E414" i="3" s="1"/>
  <c r="P414" i="1"/>
  <c r="E415" i="3" s="1"/>
  <c r="P415" i="1"/>
  <c r="E416" i="3" s="1"/>
  <c r="P416" i="1"/>
  <c r="P417" i="1"/>
  <c r="E418" i="3" s="1"/>
  <c r="P418" i="1"/>
  <c r="E419" i="3" s="1"/>
  <c r="P419" i="1"/>
  <c r="E420" i="3" s="1"/>
  <c r="P420" i="1"/>
  <c r="P421" i="1"/>
  <c r="E422" i="3" s="1"/>
  <c r="P422" i="1"/>
  <c r="E423" i="3" s="1"/>
  <c r="P423" i="1"/>
  <c r="P424" i="1"/>
  <c r="P425" i="1"/>
  <c r="P426" i="1"/>
  <c r="P427" i="1"/>
  <c r="E428" i="3" s="1"/>
  <c r="P428" i="1"/>
  <c r="P429" i="1"/>
  <c r="P430" i="1"/>
  <c r="P3" i="1"/>
  <c r="E4" i="3" s="1"/>
  <c r="O4" i="1"/>
  <c r="O5" i="1"/>
  <c r="D6" i="3" s="1"/>
  <c r="O6" i="1"/>
  <c r="D7" i="3" s="1"/>
  <c r="O7" i="1"/>
  <c r="O8" i="1"/>
  <c r="O9" i="1"/>
  <c r="O10" i="1"/>
  <c r="O11" i="1"/>
  <c r="O12" i="1"/>
  <c r="O13" i="1"/>
  <c r="O14" i="1"/>
  <c r="D15" i="3" s="1"/>
  <c r="O15" i="1"/>
  <c r="O16" i="1"/>
  <c r="O17" i="1"/>
  <c r="O18" i="1"/>
  <c r="D19" i="3" s="1"/>
  <c r="O19" i="1"/>
  <c r="D20" i="3" s="1"/>
  <c r="O20" i="1"/>
  <c r="O21" i="1"/>
  <c r="D22" i="3" s="1"/>
  <c r="O22" i="1"/>
  <c r="O23" i="1"/>
  <c r="O24" i="1"/>
  <c r="O25" i="1"/>
  <c r="O26" i="1"/>
  <c r="D27" i="3" s="1"/>
  <c r="O27" i="1"/>
  <c r="O28" i="1"/>
  <c r="O29" i="1"/>
  <c r="O30" i="1"/>
  <c r="O31" i="1"/>
  <c r="D32" i="3" s="1"/>
  <c r="O32" i="1"/>
  <c r="O33" i="1"/>
  <c r="O34" i="1"/>
  <c r="D35" i="3" s="1"/>
  <c r="O35" i="1"/>
  <c r="D36" i="3" s="1"/>
  <c r="O36" i="1"/>
  <c r="O37" i="1"/>
  <c r="D38" i="3" s="1"/>
  <c r="O38" i="1"/>
  <c r="O39" i="1"/>
  <c r="D40" i="3" s="1"/>
  <c r="O40" i="1"/>
  <c r="O41" i="1"/>
  <c r="O42" i="1"/>
  <c r="O43" i="1"/>
  <c r="D44" i="3" s="1"/>
  <c r="O44" i="1"/>
  <c r="O45" i="1"/>
  <c r="O46" i="1"/>
  <c r="O47" i="1"/>
  <c r="O48" i="1"/>
  <c r="O49" i="1"/>
  <c r="O50" i="1"/>
  <c r="O51" i="1"/>
  <c r="D52" i="3" s="1"/>
  <c r="O52" i="1"/>
  <c r="O53" i="1"/>
  <c r="O54" i="1"/>
  <c r="O55" i="1"/>
  <c r="O56" i="1"/>
  <c r="O57" i="1"/>
  <c r="O58" i="1"/>
  <c r="D59" i="3" s="1"/>
  <c r="O59" i="1"/>
  <c r="O60" i="1"/>
  <c r="O61" i="1"/>
  <c r="O62" i="1"/>
  <c r="D63" i="3" s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D76" i="3" s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D92" i="3" s="1"/>
  <c r="O92" i="1"/>
  <c r="O93" i="1"/>
  <c r="O94" i="1"/>
  <c r="D95" i="3" s="1"/>
  <c r="O95" i="1"/>
  <c r="D96" i="3" s="1"/>
  <c r="O96" i="1"/>
  <c r="O97" i="1"/>
  <c r="O98" i="1"/>
  <c r="O99" i="1"/>
  <c r="D100" i="3" s="1"/>
  <c r="O100" i="1"/>
  <c r="O101" i="1"/>
  <c r="O102" i="1"/>
  <c r="O103" i="1"/>
  <c r="O104" i="1"/>
  <c r="O105" i="1"/>
  <c r="O106" i="1"/>
  <c r="O107" i="1"/>
  <c r="O108" i="1"/>
  <c r="O109" i="1"/>
  <c r="O110" i="1"/>
  <c r="O111" i="1"/>
  <c r="D112" i="3" s="1"/>
  <c r="O112" i="1"/>
  <c r="O113" i="1"/>
  <c r="D114" i="3" s="1"/>
  <c r="O114" i="1"/>
  <c r="O115" i="1"/>
  <c r="O116" i="1"/>
  <c r="O117" i="1"/>
  <c r="O118" i="1"/>
  <c r="D119" i="3" s="1"/>
  <c r="O119" i="1"/>
  <c r="O120" i="1"/>
  <c r="O121" i="1"/>
  <c r="O122" i="1"/>
  <c r="O123" i="1"/>
  <c r="O124" i="1"/>
  <c r="O125" i="1"/>
  <c r="O126" i="1"/>
  <c r="D127" i="3" s="1"/>
  <c r="O127" i="1"/>
  <c r="D128" i="3" s="1"/>
  <c r="O128" i="1"/>
  <c r="O129" i="1"/>
  <c r="O130" i="1"/>
  <c r="O131" i="1"/>
  <c r="O132" i="1"/>
  <c r="O133" i="1"/>
  <c r="O134" i="1"/>
  <c r="O135" i="1"/>
  <c r="D136" i="3" s="1"/>
  <c r="O136" i="1"/>
  <c r="O137" i="1"/>
  <c r="O138" i="1"/>
  <c r="O139" i="1"/>
  <c r="O140" i="1"/>
  <c r="O141" i="1"/>
  <c r="O142" i="1"/>
  <c r="O143" i="1"/>
  <c r="D144" i="3" s="1"/>
  <c r="O144" i="1"/>
  <c r="O145" i="1"/>
  <c r="O146" i="1"/>
  <c r="D147" i="3" s="1"/>
  <c r="O147" i="1"/>
  <c r="O148" i="1"/>
  <c r="O149" i="1"/>
  <c r="O150" i="1"/>
  <c r="O151" i="1"/>
  <c r="O152" i="1"/>
  <c r="O153" i="1"/>
  <c r="O154" i="1"/>
  <c r="O155" i="1"/>
  <c r="O156" i="1"/>
  <c r="O157" i="1"/>
  <c r="D158" i="3" s="1"/>
  <c r="O158" i="1"/>
  <c r="D159" i="3" s="1"/>
  <c r="O159" i="1"/>
  <c r="D160" i="3" s="1"/>
  <c r="O160" i="1"/>
  <c r="O161" i="1"/>
  <c r="O162" i="1"/>
  <c r="O163" i="1"/>
  <c r="D164" i="3" s="1"/>
  <c r="O164" i="1"/>
  <c r="D165" i="3" s="1"/>
  <c r="O165" i="1"/>
  <c r="O166" i="1"/>
  <c r="D167" i="3" s="1"/>
  <c r="O167" i="1"/>
  <c r="D168" i="3" s="1"/>
  <c r="O168" i="1"/>
  <c r="O169" i="1"/>
  <c r="O170" i="1"/>
  <c r="O171" i="1"/>
  <c r="D172" i="3" s="1"/>
  <c r="O172" i="1"/>
  <c r="O173" i="1"/>
  <c r="O174" i="1"/>
  <c r="O175" i="1"/>
  <c r="D176" i="3" s="1"/>
  <c r="O176" i="1"/>
  <c r="O177" i="1"/>
  <c r="O178" i="1"/>
  <c r="O179" i="1"/>
  <c r="D180" i="3" s="1"/>
  <c r="O180" i="1"/>
  <c r="O181" i="1"/>
  <c r="O182" i="1"/>
  <c r="O183" i="1"/>
  <c r="D184" i="3" s="1"/>
  <c r="O184" i="1"/>
  <c r="O185" i="1"/>
  <c r="O186" i="1"/>
  <c r="D187" i="3" s="1"/>
  <c r="O187" i="1"/>
  <c r="D188" i="3" s="1"/>
  <c r="O188" i="1"/>
  <c r="O189" i="1"/>
  <c r="O190" i="1"/>
  <c r="O191" i="1"/>
  <c r="D192" i="3" s="1"/>
  <c r="O192" i="1"/>
  <c r="O193" i="1"/>
  <c r="D194" i="3" s="1"/>
  <c r="O194" i="1"/>
  <c r="D195" i="3" s="1"/>
  <c r="O195" i="1"/>
  <c r="D196" i="3" s="1"/>
  <c r="O196" i="1"/>
  <c r="O197" i="1"/>
  <c r="D198" i="3" s="1"/>
  <c r="O198" i="1"/>
  <c r="D199" i="3" s="1"/>
  <c r="O199" i="1"/>
  <c r="D200" i="3" s="1"/>
  <c r="O200" i="1"/>
  <c r="O201" i="1"/>
  <c r="O202" i="1"/>
  <c r="O203" i="1"/>
  <c r="D204" i="3" s="1"/>
  <c r="O204" i="1"/>
  <c r="O205" i="1"/>
  <c r="O206" i="1"/>
  <c r="O207" i="1"/>
  <c r="D208" i="3" s="1"/>
  <c r="O208" i="1"/>
  <c r="O209" i="1"/>
  <c r="O210" i="1"/>
  <c r="O211" i="1"/>
  <c r="D212" i="3" s="1"/>
  <c r="O212" i="1"/>
  <c r="O213" i="1"/>
  <c r="D214" i="3" s="1"/>
  <c r="O214" i="1"/>
  <c r="D215" i="3" s="1"/>
  <c r="O215" i="1"/>
  <c r="D216" i="3" s="1"/>
  <c r="O216" i="1"/>
  <c r="O217" i="1"/>
  <c r="O218" i="1"/>
  <c r="O219" i="1"/>
  <c r="D220" i="3" s="1"/>
  <c r="O220" i="1"/>
  <c r="O221" i="1"/>
  <c r="O222" i="1"/>
  <c r="O223" i="1"/>
  <c r="O224" i="1"/>
  <c r="O225" i="1"/>
  <c r="O226" i="1"/>
  <c r="D227" i="3" s="1"/>
  <c r="O227" i="1"/>
  <c r="D228" i="3" s="1"/>
  <c r="O228" i="1"/>
  <c r="O229" i="1"/>
  <c r="O230" i="1"/>
  <c r="D231" i="3" s="1"/>
  <c r="O231" i="1"/>
  <c r="D232" i="3" s="1"/>
  <c r="O232" i="1"/>
  <c r="O233" i="1"/>
  <c r="O234" i="1"/>
  <c r="D235" i="3" s="1"/>
  <c r="O235" i="1"/>
  <c r="O236" i="1"/>
  <c r="D237" i="3" s="1"/>
  <c r="O237" i="1"/>
  <c r="O238" i="1"/>
  <c r="D239" i="3" s="1"/>
  <c r="O239" i="1"/>
  <c r="O240" i="1"/>
  <c r="O241" i="1"/>
  <c r="O242" i="1"/>
  <c r="O243" i="1"/>
  <c r="O244" i="1"/>
  <c r="O245" i="1"/>
  <c r="O246" i="1"/>
  <c r="D247" i="3" s="1"/>
  <c r="O247" i="1"/>
  <c r="D248" i="3" s="1"/>
  <c r="O248" i="1"/>
  <c r="O249" i="1"/>
  <c r="O250" i="1"/>
  <c r="D251" i="3" s="1"/>
  <c r="O251" i="1"/>
  <c r="O252" i="1"/>
  <c r="O253" i="1"/>
  <c r="D254" i="3" s="1"/>
  <c r="O254" i="1"/>
  <c r="O255" i="1"/>
  <c r="D256" i="3" s="1"/>
  <c r="O256" i="1"/>
  <c r="O257" i="1"/>
  <c r="O258" i="1"/>
  <c r="D259" i="3" s="1"/>
  <c r="O259" i="1"/>
  <c r="D260" i="3" s="1"/>
  <c r="O260" i="1"/>
  <c r="O261" i="1"/>
  <c r="O262" i="1"/>
  <c r="O263" i="1"/>
  <c r="O264" i="1"/>
  <c r="O265" i="1"/>
  <c r="O266" i="1"/>
  <c r="O267" i="1"/>
  <c r="D268" i="3" s="1"/>
  <c r="O268" i="1"/>
  <c r="O269" i="1"/>
  <c r="O270" i="1"/>
  <c r="D271" i="3" s="1"/>
  <c r="O271" i="1"/>
  <c r="O272" i="1"/>
  <c r="O273" i="1"/>
  <c r="O274" i="1"/>
  <c r="D275" i="3" s="1"/>
  <c r="O275" i="1"/>
  <c r="O276" i="1"/>
  <c r="O277" i="1"/>
  <c r="D278" i="3" s="1"/>
  <c r="O278" i="1"/>
  <c r="D279" i="3" s="1"/>
  <c r="O279" i="1"/>
  <c r="O280" i="1"/>
  <c r="D281" i="3" s="1"/>
  <c r="O281" i="1"/>
  <c r="O282" i="1"/>
  <c r="D283" i="3" s="1"/>
  <c r="O283" i="1"/>
  <c r="O284" i="1"/>
  <c r="O285" i="1"/>
  <c r="O286" i="1"/>
  <c r="O287" i="1"/>
  <c r="D288" i="3" s="1"/>
  <c r="O288" i="1"/>
  <c r="O289" i="1"/>
  <c r="O290" i="1"/>
  <c r="O291" i="1"/>
  <c r="O292" i="1"/>
  <c r="O293" i="1"/>
  <c r="O294" i="1"/>
  <c r="D295" i="3" s="1"/>
  <c r="O295" i="1"/>
  <c r="D296" i="3" s="1"/>
  <c r="O296" i="1"/>
  <c r="O297" i="1"/>
  <c r="O298" i="1"/>
  <c r="D299" i="3" s="1"/>
  <c r="O299" i="1"/>
  <c r="D300" i="3" s="1"/>
  <c r="O300" i="1"/>
  <c r="O301" i="1"/>
  <c r="O302" i="1"/>
  <c r="O303" i="1"/>
  <c r="D304" i="3" s="1"/>
  <c r="O304" i="1"/>
  <c r="O305" i="1"/>
  <c r="O306" i="1"/>
  <c r="D307" i="3" s="1"/>
  <c r="O307" i="1"/>
  <c r="D308" i="3" s="1"/>
  <c r="O308" i="1"/>
  <c r="O309" i="1"/>
  <c r="O310" i="1"/>
  <c r="D311" i="3" s="1"/>
  <c r="O311" i="1"/>
  <c r="D312" i="3" s="1"/>
  <c r="O312" i="1"/>
  <c r="O313" i="1"/>
  <c r="D314" i="3" s="1"/>
  <c r="O314" i="1"/>
  <c r="D315" i="3" s="1"/>
  <c r="O315" i="1"/>
  <c r="D316" i="3" s="1"/>
  <c r="O316" i="1"/>
  <c r="O317" i="1"/>
  <c r="D318" i="3" s="1"/>
  <c r="O318" i="1"/>
  <c r="D319" i="3" s="1"/>
  <c r="O319" i="1"/>
  <c r="D320" i="3" s="1"/>
  <c r="O320" i="1"/>
  <c r="O321" i="1"/>
  <c r="O322" i="1"/>
  <c r="D323" i="3" s="1"/>
  <c r="O323" i="1"/>
  <c r="O324" i="1"/>
  <c r="O325" i="1"/>
  <c r="D326" i="3" s="1"/>
  <c r="O326" i="1"/>
  <c r="O327" i="1"/>
  <c r="D328" i="3" s="1"/>
  <c r="O328" i="1"/>
  <c r="O329" i="1"/>
  <c r="O330" i="1"/>
  <c r="D331" i="3" s="1"/>
  <c r="O331" i="1"/>
  <c r="D332" i="3" s="1"/>
  <c r="O332" i="1"/>
  <c r="O333" i="1"/>
  <c r="D334" i="3" s="1"/>
  <c r="O334" i="1"/>
  <c r="D335" i="3" s="1"/>
  <c r="O335" i="1"/>
  <c r="D336" i="3" s="1"/>
  <c r="O336" i="1"/>
  <c r="O337" i="1"/>
  <c r="D338" i="3" s="1"/>
  <c r="O338" i="1"/>
  <c r="D339" i="3" s="1"/>
  <c r="O339" i="1"/>
  <c r="O340" i="1"/>
  <c r="O341" i="1"/>
  <c r="O342" i="1"/>
  <c r="D343" i="3" s="1"/>
  <c r="O343" i="1"/>
  <c r="O344" i="1"/>
  <c r="O345" i="1"/>
  <c r="D346" i="3" s="1"/>
  <c r="O346" i="1"/>
  <c r="D347" i="3" s="1"/>
  <c r="O347" i="1"/>
  <c r="O348" i="1"/>
  <c r="O349" i="1"/>
  <c r="O350" i="1"/>
  <c r="O351" i="1"/>
  <c r="D352" i="3" s="1"/>
  <c r="O352" i="1"/>
  <c r="O353" i="1"/>
  <c r="D354" i="3" s="1"/>
  <c r="O354" i="1"/>
  <c r="D355" i="3" s="1"/>
  <c r="O355" i="1"/>
  <c r="O356" i="1"/>
  <c r="O357" i="1"/>
  <c r="O358" i="1"/>
  <c r="D359" i="3" s="1"/>
  <c r="O359" i="1"/>
  <c r="D360" i="3" s="1"/>
  <c r="O360" i="1"/>
  <c r="O361" i="1"/>
  <c r="O362" i="1"/>
  <c r="D363" i="3" s="1"/>
  <c r="O363" i="1"/>
  <c r="D364" i="3" s="1"/>
  <c r="O364" i="1"/>
  <c r="O365" i="1"/>
  <c r="D366" i="3" s="1"/>
  <c r="O366" i="1"/>
  <c r="D367" i="3" s="1"/>
  <c r="O367" i="1"/>
  <c r="D368" i="3" s="1"/>
  <c r="O368" i="1"/>
  <c r="O369" i="1"/>
  <c r="D370" i="3" s="1"/>
  <c r="O370" i="1"/>
  <c r="O371" i="1"/>
  <c r="D372" i="3" s="1"/>
  <c r="O372" i="1"/>
  <c r="O373" i="1"/>
  <c r="O374" i="1"/>
  <c r="D375" i="3" s="1"/>
  <c r="O375" i="1"/>
  <c r="D376" i="3" s="1"/>
  <c r="O376" i="1"/>
  <c r="O377" i="1"/>
  <c r="O378" i="1"/>
  <c r="O379" i="1"/>
  <c r="D380" i="3" s="1"/>
  <c r="O380" i="1"/>
  <c r="D381" i="3" s="1"/>
  <c r="O381" i="1"/>
  <c r="O382" i="1"/>
  <c r="O383" i="1"/>
  <c r="D384" i="3" s="1"/>
  <c r="O384" i="1"/>
  <c r="O385" i="1"/>
  <c r="O386" i="1"/>
  <c r="D387" i="3" s="1"/>
  <c r="O387" i="1"/>
  <c r="D388" i="3" s="1"/>
  <c r="O388" i="1"/>
  <c r="O389" i="1"/>
  <c r="O390" i="1"/>
  <c r="D391" i="3" s="1"/>
  <c r="O391" i="1"/>
  <c r="D392" i="3" s="1"/>
  <c r="O392" i="1"/>
  <c r="O393" i="1"/>
  <c r="O394" i="1"/>
  <c r="O395" i="1"/>
  <c r="O396" i="1"/>
  <c r="O397" i="1"/>
  <c r="O398" i="1"/>
  <c r="D399" i="3" s="1"/>
  <c r="O399" i="1"/>
  <c r="O400" i="1"/>
  <c r="O401" i="1"/>
  <c r="O402" i="1"/>
  <c r="D403" i="3" s="1"/>
  <c r="O403" i="1"/>
  <c r="D404" i="3" s="1"/>
  <c r="O404" i="1"/>
  <c r="O405" i="1"/>
  <c r="O406" i="1"/>
  <c r="D407" i="3" s="1"/>
  <c r="O407" i="1"/>
  <c r="D408" i="3" s="1"/>
  <c r="O408" i="1"/>
  <c r="O409" i="1"/>
  <c r="O410" i="1"/>
  <c r="D411" i="3" s="1"/>
  <c r="O411" i="1"/>
  <c r="D412" i="3" s="1"/>
  <c r="O412" i="1"/>
  <c r="D413" i="3" s="1"/>
  <c r="O413" i="1"/>
  <c r="D414" i="3" s="1"/>
  <c r="O414" i="1"/>
  <c r="D415" i="3" s="1"/>
  <c r="O415" i="1"/>
  <c r="D416" i="3" s="1"/>
  <c r="O416" i="1"/>
  <c r="O417" i="1"/>
  <c r="D418" i="3" s="1"/>
  <c r="O418" i="1"/>
  <c r="D419" i="3" s="1"/>
  <c r="O419" i="1"/>
  <c r="D420" i="3" s="1"/>
  <c r="O420" i="1"/>
  <c r="O421" i="1"/>
  <c r="D422" i="3" s="1"/>
  <c r="O422" i="1"/>
  <c r="D423" i="3" s="1"/>
  <c r="O423" i="1"/>
  <c r="O424" i="1"/>
  <c r="O425" i="1"/>
  <c r="O426" i="1"/>
  <c r="O427" i="1"/>
  <c r="D428" i="3" s="1"/>
  <c r="O428" i="1"/>
  <c r="O429" i="1"/>
  <c r="O430" i="1"/>
  <c r="D4" i="3"/>
  <c r="M3" i="4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U3" i="1"/>
  <c r="U4" i="1"/>
  <c r="J5" i="3" s="1"/>
  <c r="U5" i="1"/>
  <c r="U6" i="1"/>
  <c r="U7" i="1"/>
  <c r="J8" i="3" s="1"/>
  <c r="U8" i="1"/>
  <c r="J9" i="3" s="1"/>
  <c r="U9" i="1"/>
  <c r="J10" i="3" s="1"/>
  <c r="U10" i="1"/>
  <c r="U11" i="1"/>
  <c r="J12" i="3" s="1"/>
  <c r="U12" i="1"/>
  <c r="U13" i="1"/>
  <c r="U14" i="1"/>
  <c r="U15" i="1"/>
  <c r="U16" i="1"/>
  <c r="U17" i="1"/>
  <c r="J18" i="3" s="1"/>
  <c r="U18" i="1"/>
  <c r="U19" i="1"/>
  <c r="U20" i="1"/>
  <c r="U21" i="1"/>
  <c r="U22" i="1"/>
  <c r="U23" i="1"/>
  <c r="U24" i="1"/>
  <c r="U25" i="1"/>
  <c r="J26" i="3" s="1"/>
  <c r="U26" i="1"/>
  <c r="U27" i="1"/>
  <c r="U28" i="1"/>
  <c r="J29" i="3" s="1"/>
  <c r="U29" i="1"/>
  <c r="U30" i="1"/>
  <c r="U31" i="1"/>
  <c r="U32" i="1"/>
  <c r="U33" i="1"/>
  <c r="U34" i="1"/>
  <c r="U35" i="1"/>
  <c r="J36" i="3" s="1"/>
  <c r="U36" i="1"/>
  <c r="J37" i="3" s="1"/>
  <c r="U37" i="1"/>
  <c r="J38" i="3" s="1"/>
  <c r="U38" i="1"/>
  <c r="U39" i="1"/>
  <c r="U40" i="1"/>
  <c r="J41" i="3" s="1"/>
  <c r="U41" i="1"/>
  <c r="J42" i="3" s="1"/>
  <c r="U42" i="1"/>
  <c r="U43" i="1"/>
  <c r="U44" i="1"/>
  <c r="J45" i="3" s="1"/>
  <c r="U45" i="1"/>
  <c r="U46" i="1"/>
  <c r="U47" i="1"/>
  <c r="U48" i="1"/>
  <c r="J49" i="3" s="1"/>
  <c r="U49" i="1"/>
  <c r="J50" i="3" s="1"/>
  <c r="U50" i="1"/>
  <c r="U51" i="1"/>
  <c r="J52" i="3" s="1"/>
  <c r="U52" i="1"/>
  <c r="U53" i="1"/>
  <c r="U54" i="1"/>
  <c r="U55" i="1"/>
  <c r="U56" i="1"/>
  <c r="U57" i="1"/>
  <c r="J58" i="3" s="1"/>
  <c r="U58" i="1"/>
  <c r="U59" i="1"/>
  <c r="U60" i="1"/>
  <c r="U61" i="1"/>
  <c r="J62" i="3" s="1"/>
  <c r="U62" i="1"/>
  <c r="U63" i="1"/>
  <c r="U64" i="1"/>
  <c r="U65" i="1"/>
  <c r="U66" i="1"/>
  <c r="U67" i="1"/>
  <c r="U68" i="1"/>
  <c r="U69" i="1"/>
  <c r="J70" i="3" s="1"/>
  <c r="U70" i="1"/>
  <c r="U71" i="1"/>
  <c r="U72" i="1"/>
  <c r="U73" i="1"/>
  <c r="U74" i="1"/>
  <c r="U75" i="1"/>
  <c r="U76" i="1"/>
  <c r="J77" i="3" s="1"/>
  <c r="U77" i="1"/>
  <c r="J78" i="3" s="1"/>
  <c r="U78" i="1"/>
  <c r="U79" i="1"/>
  <c r="U80" i="1"/>
  <c r="U81" i="1"/>
  <c r="J82" i="3" s="1"/>
  <c r="U82" i="1"/>
  <c r="U83" i="1"/>
  <c r="U84" i="1"/>
  <c r="J85" i="3" s="1"/>
  <c r="U85" i="1"/>
  <c r="U86" i="1"/>
  <c r="U87" i="1"/>
  <c r="U88" i="1"/>
  <c r="U89" i="1"/>
  <c r="J90" i="3" s="1"/>
  <c r="U90" i="1"/>
  <c r="U91" i="1"/>
  <c r="U92" i="1"/>
  <c r="J93" i="3" s="1"/>
  <c r="U93" i="1"/>
  <c r="U94" i="1"/>
  <c r="U95" i="1"/>
  <c r="U96" i="1"/>
  <c r="U97" i="1"/>
  <c r="U98" i="1"/>
  <c r="U99" i="1"/>
  <c r="J100" i="3" s="1"/>
  <c r="U100" i="1"/>
  <c r="U101" i="1"/>
  <c r="U102" i="1"/>
  <c r="U103" i="1"/>
  <c r="U104" i="1"/>
  <c r="J105" i="3" s="1"/>
  <c r="U105" i="1"/>
  <c r="U106" i="1"/>
  <c r="U107" i="1"/>
  <c r="U108" i="1"/>
  <c r="J109" i="3" s="1"/>
  <c r="U109" i="1"/>
  <c r="U110" i="1"/>
  <c r="U111" i="1"/>
  <c r="U112" i="1"/>
  <c r="U113" i="1"/>
  <c r="U114" i="1"/>
  <c r="U115" i="1"/>
  <c r="U116" i="1"/>
  <c r="J117" i="3" s="1"/>
  <c r="U117" i="1"/>
  <c r="U118" i="1"/>
  <c r="U119" i="1"/>
  <c r="U120" i="1"/>
  <c r="U121" i="1"/>
  <c r="U122" i="1"/>
  <c r="U123" i="1"/>
  <c r="U124" i="1"/>
  <c r="J125" i="3" s="1"/>
  <c r="U125" i="1"/>
  <c r="U126" i="1"/>
  <c r="U127" i="1"/>
  <c r="U128" i="1"/>
  <c r="U129" i="1"/>
  <c r="J130" i="3" s="1"/>
  <c r="U130" i="1"/>
  <c r="U131" i="1"/>
  <c r="U132" i="1"/>
  <c r="J133" i="3" s="1"/>
  <c r="U133" i="1"/>
  <c r="J134" i="3" s="1"/>
  <c r="U134" i="1"/>
  <c r="U135" i="1"/>
  <c r="U136" i="1"/>
  <c r="J137" i="3" s="1"/>
  <c r="U137" i="1"/>
  <c r="J138" i="3" s="1"/>
  <c r="U138" i="1"/>
  <c r="U139" i="1"/>
  <c r="U140" i="1"/>
  <c r="U141" i="1"/>
  <c r="J142" i="3" s="1"/>
  <c r="U142" i="1"/>
  <c r="U143" i="1"/>
  <c r="U144" i="1"/>
  <c r="U145" i="1"/>
  <c r="J146" i="3" s="1"/>
  <c r="U146" i="1"/>
  <c r="U147" i="1"/>
  <c r="J148" i="3" s="1"/>
  <c r="U148" i="1"/>
  <c r="J149" i="3" s="1"/>
  <c r="U149" i="1"/>
  <c r="J150" i="3" s="1"/>
  <c r="U150" i="1"/>
  <c r="U151" i="1"/>
  <c r="U152" i="1"/>
  <c r="U153" i="1"/>
  <c r="U154" i="1"/>
  <c r="U155" i="1"/>
  <c r="J156" i="3" s="1"/>
  <c r="U156" i="1"/>
  <c r="U157" i="1"/>
  <c r="U158" i="1"/>
  <c r="U159" i="1"/>
  <c r="U160" i="1"/>
  <c r="J161" i="3" s="1"/>
  <c r="U161" i="1"/>
  <c r="J162" i="3" s="1"/>
  <c r="U162" i="1"/>
  <c r="U163" i="1"/>
  <c r="U164" i="1"/>
  <c r="J165" i="3" s="1"/>
  <c r="U165" i="1"/>
  <c r="J166" i="3" s="1"/>
  <c r="U166" i="1"/>
  <c r="U167" i="1"/>
  <c r="U168" i="1"/>
  <c r="J169" i="3" s="1"/>
  <c r="U169" i="1"/>
  <c r="U170" i="1"/>
  <c r="U171" i="1"/>
  <c r="U172" i="1"/>
  <c r="U173" i="1"/>
  <c r="J174" i="3" s="1"/>
  <c r="U174" i="1"/>
  <c r="U175" i="1"/>
  <c r="U176" i="1"/>
  <c r="J177" i="3" s="1"/>
  <c r="U177" i="1"/>
  <c r="J178" i="3" s="1"/>
  <c r="U178" i="1"/>
  <c r="U179" i="1"/>
  <c r="U180" i="1"/>
  <c r="J181" i="3" s="1"/>
  <c r="U181" i="1"/>
  <c r="U182" i="1"/>
  <c r="U183" i="1"/>
  <c r="U184" i="1"/>
  <c r="U185" i="1"/>
  <c r="U186" i="1"/>
  <c r="U187" i="1"/>
  <c r="U188" i="1"/>
  <c r="J189" i="3" s="1"/>
  <c r="U189" i="1"/>
  <c r="J190" i="3" s="1"/>
  <c r="U190" i="1"/>
  <c r="U191" i="1"/>
  <c r="U192" i="1"/>
  <c r="U193" i="1"/>
  <c r="U194" i="1"/>
  <c r="U195" i="1"/>
  <c r="U196" i="1"/>
  <c r="U197" i="1"/>
  <c r="U198" i="1"/>
  <c r="U199" i="1"/>
  <c r="U200" i="1"/>
  <c r="J201" i="3" s="1"/>
  <c r="U201" i="1"/>
  <c r="J202" i="3" s="1"/>
  <c r="U202" i="1"/>
  <c r="U203" i="1"/>
  <c r="U204" i="1"/>
  <c r="U205" i="1"/>
  <c r="U206" i="1"/>
  <c r="U207" i="1"/>
  <c r="U208" i="1"/>
  <c r="U209" i="1"/>
  <c r="J210" i="3" s="1"/>
  <c r="U210" i="1"/>
  <c r="U211" i="1"/>
  <c r="J212" i="3" s="1"/>
  <c r="U212" i="1"/>
  <c r="J213" i="3" s="1"/>
  <c r="U213" i="1"/>
  <c r="U214" i="1"/>
  <c r="U215" i="1"/>
  <c r="U216" i="1"/>
  <c r="U217" i="1"/>
  <c r="U218" i="1"/>
  <c r="U219" i="1"/>
  <c r="U220" i="1"/>
  <c r="U221" i="1"/>
  <c r="J222" i="3" s="1"/>
  <c r="U222" i="1"/>
  <c r="U223" i="1"/>
  <c r="U224" i="1"/>
  <c r="J225" i="3" s="1"/>
  <c r="U225" i="1"/>
  <c r="J226" i="3" s="1"/>
  <c r="U226" i="1"/>
  <c r="U227" i="1"/>
  <c r="U228" i="1"/>
  <c r="U229" i="1"/>
  <c r="J230" i="3" s="1"/>
  <c r="U230" i="1"/>
  <c r="U231" i="1"/>
  <c r="U232" i="1"/>
  <c r="J233" i="3" s="1"/>
  <c r="U233" i="1"/>
  <c r="U234" i="1"/>
  <c r="U235" i="1"/>
  <c r="U236" i="1"/>
  <c r="J237" i="3" s="1"/>
  <c r="U237" i="1"/>
  <c r="J238" i="3" s="1"/>
  <c r="U238" i="1"/>
  <c r="U239" i="1"/>
  <c r="J240" i="3" s="1"/>
  <c r="U240" i="1"/>
  <c r="J241" i="3" s="1"/>
  <c r="U241" i="1"/>
  <c r="U242" i="1"/>
  <c r="U243" i="1"/>
  <c r="U244" i="1"/>
  <c r="J245" i="3" s="1"/>
  <c r="U245" i="1"/>
  <c r="J246" i="3" s="1"/>
  <c r="U246" i="1"/>
  <c r="U247" i="1"/>
  <c r="U248" i="1"/>
  <c r="J249" i="3" s="1"/>
  <c r="U249" i="1"/>
  <c r="U250" i="1"/>
  <c r="U251" i="1"/>
  <c r="U252" i="1"/>
  <c r="J253" i="3" s="1"/>
  <c r="U253" i="1"/>
  <c r="J254" i="3" s="1"/>
  <c r="U254" i="1"/>
  <c r="U255" i="1"/>
  <c r="U256" i="1"/>
  <c r="J257" i="3" s="1"/>
  <c r="U257" i="1"/>
  <c r="J258" i="3" s="1"/>
  <c r="U258" i="1"/>
  <c r="U259" i="1"/>
  <c r="U260" i="1"/>
  <c r="J261" i="3" s="1"/>
  <c r="U261" i="1"/>
  <c r="J262" i="3" s="1"/>
  <c r="U262" i="1"/>
  <c r="U263" i="1"/>
  <c r="U264" i="1"/>
  <c r="U265" i="1"/>
  <c r="U266" i="1"/>
  <c r="U267" i="1"/>
  <c r="U268" i="1"/>
  <c r="J269" i="3" s="1"/>
  <c r="U269" i="1"/>
  <c r="U270" i="1"/>
  <c r="U271" i="1"/>
  <c r="U272" i="1"/>
  <c r="J273" i="3" s="1"/>
  <c r="U273" i="1"/>
  <c r="J274" i="3" s="1"/>
  <c r="U274" i="1"/>
  <c r="U275" i="1"/>
  <c r="U276" i="1"/>
  <c r="J277" i="3" s="1"/>
  <c r="U277" i="1"/>
  <c r="U278" i="1"/>
  <c r="U279" i="1"/>
  <c r="U280" i="1"/>
  <c r="J281" i="3" s="1"/>
  <c r="U281" i="1"/>
  <c r="J282" i="3" s="1"/>
  <c r="U282" i="1"/>
  <c r="U283" i="1"/>
  <c r="J284" i="3" s="1"/>
  <c r="U284" i="1"/>
  <c r="J285" i="3" s="1"/>
  <c r="U285" i="1"/>
  <c r="U286" i="1"/>
  <c r="U287" i="1"/>
  <c r="U288" i="1"/>
  <c r="J289" i="3" s="1"/>
  <c r="U289" i="1"/>
  <c r="U290" i="1"/>
  <c r="U291" i="1"/>
  <c r="U292" i="1"/>
  <c r="J293" i="3" s="1"/>
  <c r="U293" i="1"/>
  <c r="J294" i="3" s="1"/>
  <c r="U294" i="1"/>
  <c r="U295" i="1"/>
  <c r="U296" i="1"/>
  <c r="U297" i="1"/>
  <c r="J298" i="3" s="1"/>
  <c r="U298" i="1"/>
  <c r="U299" i="1"/>
  <c r="U300" i="1"/>
  <c r="J301" i="3" s="1"/>
  <c r="U301" i="1"/>
  <c r="J302" i="3" s="1"/>
  <c r="U302" i="1"/>
  <c r="U303" i="1"/>
  <c r="U304" i="1"/>
  <c r="U305" i="1"/>
  <c r="J306" i="3" s="1"/>
  <c r="U306" i="1"/>
  <c r="U307" i="1"/>
  <c r="U308" i="1"/>
  <c r="U309" i="1"/>
  <c r="J310" i="3" s="1"/>
  <c r="U310" i="1"/>
  <c r="U311" i="1"/>
  <c r="U312" i="1"/>
  <c r="U313" i="1"/>
  <c r="J314" i="3" s="1"/>
  <c r="U314" i="1"/>
  <c r="U315" i="1"/>
  <c r="U316" i="1"/>
  <c r="J317" i="3" s="1"/>
  <c r="U317" i="1"/>
  <c r="J318" i="3" s="1"/>
  <c r="U318" i="1"/>
  <c r="U319" i="1"/>
  <c r="U320" i="1"/>
  <c r="U321" i="1"/>
  <c r="J322" i="3" s="1"/>
  <c r="U322" i="1"/>
  <c r="U323" i="1"/>
  <c r="U324" i="1"/>
  <c r="J325" i="3" s="1"/>
  <c r="U325" i="1"/>
  <c r="J326" i="3" s="1"/>
  <c r="U326" i="1"/>
  <c r="U327" i="1"/>
  <c r="U328" i="1"/>
  <c r="J329" i="3" s="1"/>
  <c r="U329" i="1"/>
  <c r="J330" i="3" s="1"/>
  <c r="U330" i="1"/>
  <c r="U331" i="1"/>
  <c r="U332" i="1"/>
  <c r="U333" i="1"/>
  <c r="U334" i="1"/>
  <c r="U335" i="1"/>
  <c r="U336" i="1"/>
  <c r="J337" i="3" s="1"/>
  <c r="U337" i="1"/>
  <c r="U338" i="1"/>
  <c r="U339" i="1"/>
  <c r="J340" i="3" s="1"/>
  <c r="U340" i="1"/>
  <c r="U341" i="1"/>
  <c r="J342" i="3" s="1"/>
  <c r="U342" i="1"/>
  <c r="U343" i="1"/>
  <c r="U344" i="1"/>
  <c r="J345" i="3" s="1"/>
  <c r="U345" i="1"/>
  <c r="J346" i="3" s="1"/>
  <c r="U346" i="1"/>
  <c r="U347" i="1"/>
  <c r="J348" i="3" s="1"/>
  <c r="U348" i="1"/>
  <c r="U349" i="1"/>
  <c r="J350" i="3" s="1"/>
  <c r="U350" i="1"/>
  <c r="U351" i="1"/>
  <c r="J352" i="3" s="1"/>
  <c r="U352" i="1"/>
  <c r="J353" i="3" s="1"/>
  <c r="U353" i="1"/>
  <c r="J354" i="3" s="1"/>
  <c r="U354" i="1"/>
  <c r="U355" i="1"/>
  <c r="J356" i="3" s="1"/>
  <c r="U356" i="1"/>
  <c r="J357" i="3" s="1"/>
  <c r="U357" i="1"/>
  <c r="J358" i="3" s="1"/>
  <c r="U358" i="1"/>
  <c r="U359" i="1"/>
  <c r="U360" i="1"/>
  <c r="J361" i="3" s="1"/>
  <c r="U361" i="1"/>
  <c r="U362" i="1"/>
  <c r="U363" i="1"/>
  <c r="U364" i="1"/>
  <c r="U365" i="1"/>
  <c r="U366" i="1"/>
  <c r="U367" i="1"/>
  <c r="U368" i="1"/>
  <c r="J369" i="3" s="1"/>
  <c r="U369" i="1"/>
  <c r="U370" i="1"/>
  <c r="U371" i="1"/>
  <c r="U372" i="1"/>
  <c r="J373" i="3" s="1"/>
  <c r="U373" i="1"/>
  <c r="U374" i="1"/>
  <c r="U375" i="1"/>
  <c r="U376" i="1"/>
  <c r="J377" i="3" s="1"/>
  <c r="U377" i="1"/>
  <c r="U378" i="1"/>
  <c r="U379" i="1"/>
  <c r="U380" i="1"/>
  <c r="J381" i="3" s="1"/>
  <c r="U381" i="1"/>
  <c r="U382" i="1"/>
  <c r="U383" i="1"/>
  <c r="U384" i="1"/>
  <c r="J385" i="3" s="1"/>
  <c r="U385" i="1"/>
  <c r="U386" i="1"/>
  <c r="U387" i="1"/>
  <c r="U388" i="1"/>
  <c r="J389" i="3" s="1"/>
  <c r="U389" i="1"/>
  <c r="J390" i="3" s="1"/>
  <c r="U390" i="1"/>
  <c r="U391" i="1"/>
  <c r="J392" i="3" s="1"/>
  <c r="U392" i="1"/>
  <c r="J393" i="3" s="1"/>
  <c r="U393" i="1"/>
  <c r="J394" i="3" s="1"/>
  <c r="U394" i="1"/>
  <c r="U395" i="1"/>
  <c r="U396" i="1"/>
  <c r="J397" i="3" s="1"/>
  <c r="U397" i="1"/>
  <c r="J398" i="3" s="1"/>
  <c r="U398" i="1"/>
  <c r="J399" i="3" s="1"/>
  <c r="U399" i="1"/>
  <c r="U400" i="1"/>
  <c r="J401" i="3" s="1"/>
  <c r="U401" i="1"/>
  <c r="J402" i="3" s="1"/>
  <c r="U402" i="1"/>
  <c r="U403" i="1"/>
  <c r="U404" i="1"/>
  <c r="J405" i="3" s="1"/>
  <c r="U405" i="1"/>
  <c r="J406" i="3" s="1"/>
  <c r="U406" i="1"/>
  <c r="U407" i="1"/>
  <c r="U408" i="1"/>
  <c r="J409" i="3" s="1"/>
  <c r="U409" i="1"/>
  <c r="J410" i="3" s="1"/>
  <c r="U410" i="1"/>
  <c r="U411" i="1"/>
  <c r="U412" i="1"/>
  <c r="J413" i="3" s="1"/>
  <c r="U413" i="1"/>
  <c r="U414" i="1"/>
  <c r="U415" i="1"/>
  <c r="J416" i="3" s="1"/>
  <c r="U416" i="1"/>
  <c r="J417" i="3" s="1"/>
  <c r="U417" i="1"/>
  <c r="U418" i="1"/>
  <c r="U419" i="1"/>
  <c r="U420" i="1"/>
  <c r="J421" i="3" s="1"/>
  <c r="U421" i="1"/>
  <c r="J422" i="3" s="1"/>
  <c r="U422" i="1"/>
  <c r="U423" i="1"/>
  <c r="U424" i="1"/>
  <c r="J425" i="3" s="1"/>
  <c r="U425" i="1"/>
  <c r="U426" i="1"/>
  <c r="U427" i="1"/>
  <c r="U428" i="1"/>
  <c r="J429" i="3" s="1"/>
  <c r="U429" i="1"/>
  <c r="J430" i="3" s="1"/>
  <c r="U430" i="1"/>
  <c r="T3" i="1"/>
  <c r="T4" i="1"/>
  <c r="I5" i="3" s="1"/>
  <c r="T5" i="1"/>
  <c r="T6" i="1"/>
  <c r="T7" i="1"/>
  <c r="I8" i="3" s="1"/>
  <c r="T8" i="1"/>
  <c r="I9" i="3" s="1"/>
  <c r="T9" i="1"/>
  <c r="I10" i="3" s="1"/>
  <c r="T10" i="1"/>
  <c r="T11" i="1"/>
  <c r="I12" i="3" s="1"/>
  <c r="T12" i="1"/>
  <c r="T13" i="1"/>
  <c r="T14" i="1"/>
  <c r="T15" i="1"/>
  <c r="T16" i="1"/>
  <c r="T17" i="1"/>
  <c r="I18" i="3" s="1"/>
  <c r="T18" i="1"/>
  <c r="T19" i="1"/>
  <c r="T20" i="1"/>
  <c r="T21" i="1"/>
  <c r="T22" i="1"/>
  <c r="T23" i="1"/>
  <c r="T24" i="1"/>
  <c r="T25" i="1"/>
  <c r="I26" i="3" s="1"/>
  <c r="T26" i="1"/>
  <c r="T27" i="1"/>
  <c r="T28" i="1"/>
  <c r="I29" i="3" s="1"/>
  <c r="T29" i="1"/>
  <c r="T30" i="1"/>
  <c r="T31" i="1"/>
  <c r="T32" i="1"/>
  <c r="T33" i="1"/>
  <c r="T34" i="1"/>
  <c r="T35" i="1"/>
  <c r="I36" i="3" s="1"/>
  <c r="T36" i="1"/>
  <c r="I37" i="3" s="1"/>
  <c r="T37" i="1"/>
  <c r="I38" i="3" s="1"/>
  <c r="T38" i="1"/>
  <c r="T39" i="1"/>
  <c r="T40" i="1"/>
  <c r="I41" i="3" s="1"/>
  <c r="T41" i="1"/>
  <c r="I42" i="3" s="1"/>
  <c r="T42" i="1"/>
  <c r="T43" i="1"/>
  <c r="T44" i="1"/>
  <c r="I45" i="3" s="1"/>
  <c r="T45" i="1"/>
  <c r="T46" i="1"/>
  <c r="T47" i="1"/>
  <c r="T48" i="1"/>
  <c r="I49" i="3" s="1"/>
  <c r="T49" i="1"/>
  <c r="I50" i="3" s="1"/>
  <c r="T50" i="1"/>
  <c r="T51" i="1"/>
  <c r="I52" i="3" s="1"/>
  <c r="T52" i="1"/>
  <c r="T53" i="1"/>
  <c r="T54" i="1"/>
  <c r="T55" i="1"/>
  <c r="T56" i="1"/>
  <c r="T57" i="1"/>
  <c r="I58" i="3" s="1"/>
  <c r="T58" i="1"/>
  <c r="T59" i="1"/>
  <c r="T60" i="1"/>
  <c r="T61" i="1"/>
  <c r="I62" i="3" s="1"/>
  <c r="T62" i="1"/>
  <c r="T63" i="1"/>
  <c r="T64" i="1"/>
  <c r="T65" i="1"/>
  <c r="T66" i="1"/>
  <c r="T67" i="1"/>
  <c r="T68" i="1"/>
  <c r="T69" i="1"/>
  <c r="I70" i="3" s="1"/>
  <c r="T70" i="1"/>
  <c r="T71" i="1"/>
  <c r="T72" i="1"/>
  <c r="T73" i="1"/>
  <c r="T74" i="1"/>
  <c r="T75" i="1"/>
  <c r="T76" i="1"/>
  <c r="I77" i="3" s="1"/>
  <c r="T77" i="1"/>
  <c r="I78" i="3" s="1"/>
  <c r="T78" i="1"/>
  <c r="T79" i="1"/>
  <c r="T80" i="1"/>
  <c r="T81" i="1"/>
  <c r="I82" i="3" s="1"/>
  <c r="T82" i="1"/>
  <c r="T83" i="1"/>
  <c r="T84" i="1"/>
  <c r="I85" i="3" s="1"/>
  <c r="T85" i="1"/>
  <c r="T86" i="1"/>
  <c r="T87" i="1"/>
  <c r="T88" i="1"/>
  <c r="T89" i="1"/>
  <c r="I90" i="3" s="1"/>
  <c r="T90" i="1"/>
  <c r="T91" i="1"/>
  <c r="T92" i="1"/>
  <c r="I93" i="3" s="1"/>
  <c r="T93" i="1"/>
  <c r="T94" i="1"/>
  <c r="T95" i="1"/>
  <c r="T96" i="1"/>
  <c r="T97" i="1"/>
  <c r="T98" i="1"/>
  <c r="T99" i="1"/>
  <c r="T100" i="1"/>
  <c r="T101" i="1"/>
  <c r="T102" i="1"/>
  <c r="T103" i="1"/>
  <c r="T104" i="1"/>
  <c r="I105" i="3" s="1"/>
  <c r="T105" i="1"/>
  <c r="T106" i="1"/>
  <c r="T107" i="1"/>
  <c r="T108" i="1"/>
  <c r="I109" i="3" s="1"/>
  <c r="T109" i="1"/>
  <c r="T110" i="1"/>
  <c r="T111" i="1"/>
  <c r="T112" i="1"/>
  <c r="T113" i="1"/>
  <c r="T114" i="1"/>
  <c r="T115" i="1"/>
  <c r="T116" i="1"/>
  <c r="I117" i="3" s="1"/>
  <c r="T117" i="1"/>
  <c r="T118" i="1"/>
  <c r="T119" i="1"/>
  <c r="T120" i="1"/>
  <c r="T121" i="1"/>
  <c r="T122" i="1"/>
  <c r="T123" i="1"/>
  <c r="T124" i="1"/>
  <c r="I125" i="3" s="1"/>
  <c r="T125" i="1"/>
  <c r="T126" i="1"/>
  <c r="T127" i="1"/>
  <c r="T128" i="1"/>
  <c r="T129" i="1"/>
  <c r="I130" i="3" s="1"/>
  <c r="T130" i="1"/>
  <c r="T131" i="1"/>
  <c r="T132" i="1"/>
  <c r="I133" i="3" s="1"/>
  <c r="T133" i="1"/>
  <c r="I134" i="3" s="1"/>
  <c r="T134" i="1"/>
  <c r="T135" i="1"/>
  <c r="T136" i="1"/>
  <c r="I137" i="3" s="1"/>
  <c r="T137" i="1"/>
  <c r="I138" i="3" s="1"/>
  <c r="T138" i="1"/>
  <c r="T139" i="1"/>
  <c r="T140" i="1"/>
  <c r="T141" i="1"/>
  <c r="I142" i="3" s="1"/>
  <c r="T142" i="1"/>
  <c r="T143" i="1"/>
  <c r="T144" i="1"/>
  <c r="T145" i="1"/>
  <c r="I146" i="3" s="1"/>
  <c r="T146" i="1"/>
  <c r="T147" i="1"/>
  <c r="I148" i="3" s="1"/>
  <c r="T148" i="1"/>
  <c r="I149" i="3" s="1"/>
  <c r="T149" i="1"/>
  <c r="I150" i="3" s="1"/>
  <c r="T150" i="1"/>
  <c r="T151" i="1"/>
  <c r="T152" i="1"/>
  <c r="T153" i="1"/>
  <c r="T154" i="1"/>
  <c r="T155" i="1"/>
  <c r="I156" i="3" s="1"/>
  <c r="T156" i="1"/>
  <c r="T157" i="1"/>
  <c r="T158" i="1"/>
  <c r="T159" i="1"/>
  <c r="T160" i="1"/>
  <c r="I161" i="3" s="1"/>
  <c r="T161" i="1"/>
  <c r="I162" i="3" s="1"/>
  <c r="T162" i="1"/>
  <c r="T163" i="1"/>
  <c r="T164" i="1"/>
  <c r="I165" i="3" s="1"/>
  <c r="T165" i="1"/>
  <c r="I166" i="3" s="1"/>
  <c r="T166" i="1"/>
  <c r="T167" i="1"/>
  <c r="T168" i="1"/>
  <c r="I169" i="3" s="1"/>
  <c r="T169" i="1"/>
  <c r="T170" i="1"/>
  <c r="T171" i="1"/>
  <c r="T172" i="1"/>
  <c r="T173" i="1"/>
  <c r="I174" i="3" s="1"/>
  <c r="T174" i="1"/>
  <c r="T175" i="1"/>
  <c r="T176" i="1"/>
  <c r="I177" i="3" s="1"/>
  <c r="T177" i="1"/>
  <c r="I178" i="3" s="1"/>
  <c r="T178" i="1"/>
  <c r="T179" i="1"/>
  <c r="T180" i="1"/>
  <c r="I181" i="3" s="1"/>
  <c r="T181" i="1"/>
  <c r="T182" i="1"/>
  <c r="T183" i="1"/>
  <c r="T184" i="1"/>
  <c r="T185" i="1"/>
  <c r="T186" i="1"/>
  <c r="T187" i="1"/>
  <c r="T188" i="1"/>
  <c r="I189" i="3" s="1"/>
  <c r="T189" i="1"/>
  <c r="I190" i="3" s="1"/>
  <c r="T190" i="1"/>
  <c r="T191" i="1"/>
  <c r="T192" i="1"/>
  <c r="T193" i="1"/>
  <c r="T194" i="1"/>
  <c r="T195" i="1"/>
  <c r="T196" i="1"/>
  <c r="T197" i="1"/>
  <c r="T198" i="1"/>
  <c r="T199" i="1"/>
  <c r="T200" i="1"/>
  <c r="I201" i="3" s="1"/>
  <c r="T201" i="1"/>
  <c r="I202" i="3" s="1"/>
  <c r="T202" i="1"/>
  <c r="T203" i="1"/>
  <c r="T204" i="1"/>
  <c r="T205" i="1"/>
  <c r="T206" i="1"/>
  <c r="T207" i="1"/>
  <c r="T208" i="1"/>
  <c r="T209" i="1"/>
  <c r="I210" i="3" s="1"/>
  <c r="T210" i="1"/>
  <c r="T211" i="1"/>
  <c r="I212" i="3" s="1"/>
  <c r="T212" i="1"/>
  <c r="I213" i="3" s="1"/>
  <c r="T213" i="1"/>
  <c r="T214" i="1"/>
  <c r="T215" i="1"/>
  <c r="T216" i="1"/>
  <c r="T217" i="1"/>
  <c r="T218" i="1"/>
  <c r="T219" i="1"/>
  <c r="T220" i="1"/>
  <c r="T221" i="1"/>
  <c r="I222" i="3" s="1"/>
  <c r="T222" i="1"/>
  <c r="T223" i="1"/>
  <c r="T224" i="1"/>
  <c r="I225" i="3" s="1"/>
  <c r="T225" i="1"/>
  <c r="I226" i="3" s="1"/>
  <c r="T226" i="1"/>
  <c r="T227" i="1"/>
  <c r="T228" i="1"/>
  <c r="T229" i="1"/>
  <c r="I230" i="3" s="1"/>
  <c r="T230" i="1"/>
  <c r="T231" i="1"/>
  <c r="T232" i="1"/>
  <c r="I233" i="3" s="1"/>
  <c r="T233" i="1"/>
  <c r="T234" i="1"/>
  <c r="T235" i="1"/>
  <c r="T236" i="1"/>
  <c r="I237" i="3" s="1"/>
  <c r="T237" i="1"/>
  <c r="I238" i="3" s="1"/>
  <c r="T238" i="1"/>
  <c r="T239" i="1"/>
  <c r="I240" i="3" s="1"/>
  <c r="T240" i="1"/>
  <c r="I241" i="3" s="1"/>
  <c r="T241" i="1"/>
  <c r="T242" i="1"/>
  <c r="T243" i="1"/>
  <c r="T244" i="1"/>
  <c r="I245" i="3" s="1"/>
  <c r="T245" i="1"/>
  <c r="I246" i="3" s="1"/>
  <c r="T246" i="1"/>
  <c r="T247" i="1"/>
  <c r="T248" i="1"/>
  <c r="I249" i="3" s="1"/>
  <c r="T249" i="1"/>
  <c r="T250" i="1"/>
  <c r="T251" i="1"/>
  <c r="T252" i="1"/>
  <c r="I253" i="3" s="1"/>
  <c r="T253" i="1"/>
  <c r="I254" i="3" s="1"/>
  <c r="T254" i="1"/>
  <c r="T255" i="1"/>
  <c r="T256" i="1"/>
  <c r="I257" i="3" s="1"/>
  <c r="T257" i="1"/>
  <c r="I258" i="3" s="1"/>
  <c r="T258" i="1"/>
  <c r="T259" i="1"/>
  <c r="T260" i="1"/>
  <c r="I261" i="3" s="1"/>
  <c r="T261" i="1"/>
  <c r="I262" i="3" s="1"/>
  <c r="T262" i="1"/>
  <c r="T263" i="1"/>
  <c r="T264" i="1"/>
  <c r="T265" i="1"/>
  <c r="T266" i="1"/>
  <c r="T267" i="1"/>
  <c r="T268" i="1"/>
  <c r="I269" i="3" s="1"/>
  <c r="T269" i="1"/>
  <c r="T270" i="1"/>
  <c r="T271" i="1"/>
  <c r="T272" i="1"/>
  <c r="I273" i="3" s="1"/>
  <c r="T273" i="1"/>
  <c r="I274" i="3" s="1"/>
  <c r="T274" i="1"/>
  <c r="T275" i="1"/>
  <c r="T276" i="1"/>
  <c r="I277" i="3" s="1"/>
  <c r="T277" i="1"/>
  <c r="T278" i="1"/>
  <c r="T279" i="1"/>
  <c r="T280" i="1"/>
  <c r="I281" i="3" s="1"/>
  <c r="T281" i="1"/>
  <c r="I282" i="3" s="1"/>
  <c r="T282" i="1"/>
  <c r="T283" i="1"/>
  <c r="I284" i="3" s="1"/>
  <c r="T284" i="1"/>
  <c r="I285" i="3" s="1"/>
  <c r="T285" i="1"/>
  <c r="T286" i="1"/>
  <c r="T287" i="1"/>
  <c r="T288" i="1"/>
  <c r="I289" i="3" s="1"/>
  <c r="T289" i="1"/>
  <c r="T290" i="1"/>
  <c r="T291" i="1"/>
  <c r="T292" i="1"/>
  <c r="I293" i="3" s="1"/>
  <c r="T293" i="1"/>
  <c r="I294" i="3" s="1"/>
  <c r="T294" i="1"/>
  <c r="T295" i="1"/>
  <c r="T296" i="1"/>
  <c r="T297" i="1"/>
  <c r="I298" i="3" s="1"/>
  <c r="T298" i="1"/>
  <c r="T299" i="1"/>
  <c r="T300" i="1"/>
  <c r="I301" i="3" s="1"/>
  <c r="T301" i="1"/>
  <c r="I302" i="3" s="1"/>
  <c r="T302" i="1"/>
  <c r="T303" i="1"/>
  <c r="T304" i="1"/>
  <c r="T305" i="1"/>
  <c r="I306" i="3" s="1"/>
  <c r="T306" i="1"/>
  <c r="T307" i="1"/>
  <c r="T308" i="1"/>
  <c r="T309" i="1"/>
  <c r="I310" i="3" s="1"/>
  <c r="T310" i="1"/>
  <c r="T311" i="1"/>
  <c r="T312" i="1"/>
  <c r="T313" i="1"/>
  <c r="I314" i="3" s="1"/>
  <c r="T314" i="1"/>
  <c r="T315" i="1"/>
  <c r="T316" i="1"/>
  <c r="I317" i="3" s="1"/>
  <c r="T317" i="1"/>
  <c r="I318" i="3" s="1"/>
  <c r="T318" i="1"/>
  <c r="T319" i="1"/>
  <c r="T320" i="1"/>
  <c r="T321" i="1"/>
  <c r="I322" i="3" s="1"/>
  <c r="T322" i="1"/>
  <c r="T323" i="1"/>
  <c r="T324" i="1"/>
  <c r="I325" i="3" s="1"/>
  <c r="T325" i="1"/>
  <c r="I326" i="3" s="1"/>
  <c r="T326" i="1"/>
  <c r="T327" i="1"/>
  <c r="T328" i="1"/>
  <c r="I329" i="3" s="1"/>
  <c r="T329" i="1"/>
  <c r="I330" i="3" s="1"/>
  <c r="T330" i="1"/>
  <c r="T331" i="1"/>
  <c r="T332" i="1"/>
  <c r="T333" i="1"/>
  <c r="T334" i="1"/>
  <c r="T335" i="1"/>
  <c r="T336" i="1"/>
  <c r="I337" i="3" s="1"/>
  <c r="T337" i="1"/>
  <c r="T338" i="1"/>
  <c r="T339" i="1"/>
  <c r="I340" i="3" s="1"/>
  <c r="T340" i="1"/>
  <c r="T341" i="1"/>
  <c r="I342" i="3" s="1"/>
  <c r="T342" i="1"/>
  <c r="T343" i="1"/>
  <c r="T344" i="1"/>
  <c r="I345" i="3" s="1"/>
  <c r="T345" i="1"/>
  <c r="I346" i="3" s="1"/>
  <c r="T346" i="1"/>
  <c r="T347" i="1"/>
  <c r="I348" i="3" s="1"/>
  <c r="T348" i="1"/>
  <c r="T349" i="1"/>
  <c r="I350" i="3" s="1"/>
  <c r="T350" i="1"/>
  <c r="T351" i="1"/>
  <c r="I352" i="3" s="1"/>
  <c r="T352" i="1"/>
  <c r="I353" i="3" s="1"/>
  <c r="T353" i="1"/>
  <c r="I354" i="3" s="1"/>
  <c r="T354" i="1"/>
  <c r="T355" i="1"/>
  <c r="I356" i="3" s="1"/>
  <c r="T356" i="1"/>
  <c r="I357" i="3" s="1"/>
  <c r="T357" i="1"/>
  <c r="I358" i="3" s="1"/>
  <c r="T358" i="1"/>
  <c r="T359" i="1"/>
  <c r="T360" i="1"/>
  <c r="I361" i="3" s="1"/>
  <c r="T361" i="1"/>
  <c r="T362" i="1"/>
  <c r="T363" i="1"/>
  <c r="T364" i="1"/>
  <c r="T365" i="1"/>
  <c r="T366" i="1"/>
  <c r="T367" i="1"/>
  <c r="T368" i="1"/>
  <c r="I369" i="3" s="1"/>
  <c r="T369" i="1"/>
  <c r="T370" i="1"/>
  <c r="T371" i="1"/>
  <c r="T372" i="1"/>
  <c r="I373" i="3" s="1"/>
  <c r="T373" i="1"/>
  <c r="T374" i="1"/>
  <c r="T375" i="1"/>
  <c r="T376" i="1"/>
  <c r="I377" i="3" s="1"/>
  <c r="T377" i="1"/>
  <c r="T378" i="1"/>
  <c r="T379" i="1"/>
  <c r="T380" i="1"/>
  <c r="I381" i="3" s="1"/>
  <c r="T381" i="1"/>
  <c r="T382" i="1"/>
  <c r="T383" i="1"/>
  <c r="T384" i="1"/>
  <c r="I385" i="3" s="1"/>
  <c r="T385" i="1"/>
  <c r="T386" i="1"/>
  <c r="T387" i="1"/>
  <c r="T388" i="1"/>
  <c r="I389" i="3" s="1"/>
  <c r="T389" i="1"/>
  <c r="I390" i="3" s="1"/>
  <c r="T390" i="1"/>
  <c r="T391" i="1"/>
  <c r="I392" i="3" s="1"/>
  <c r="T392" i="1"/>
  <c r="I393" i="3" s="1"/>
  <c r="T393" i="1"/>
  <c r="I394" i="3" s="1"/>
  <c r="T394" i="1"/>
  <c r="T395" i="1"/>
  <c r="T396" i="1"/>
  <c r="I397" i="3" s="1"/>
  <c r="T397" i="1"/>
  <c r="I398" i="3" s="1"/>
  <c r="T398" i="1"/>
  <c r="I399" i="3" s="1"/>
  <c r="T399" i="1"/>
  <c r="T400" i="1"/>
  <c r="I401" i="3" s="1"/>
  <c r="T401" i="1"/>
  <c r="I402" i="3" s="1"/>
  <c r="T402" i="1"/>
  <c r="T403" i="1"/>
  <c r="T404" i="1"/>
  <c r="I405" i="3" s="1"/>
  <c r="T405" i="1"/>
  <c r="I406" i="3" s="1"/>
  <c r="T406" i="1"/>
  <c r="T407" i="1"/>
  <c r="T408" i="1"/>
  <c r="I409" i="3" s="1"/>
  <c r="T409" i="1"/>
  <c r="I410" i="3" s="1"/>
  <c r="T410" i="1"/>
  <c r="T411" i="1"/>
  <c r="T412" i="1"/>
  <c r="I413" i="3" s="1"/>
  <c r="T413" i="1"/>
  <c r="T414" i="1"/>
  <c r="T415" i="1"/>
  <c r="I416" i="3" s="1"/>
  <c r="T416" i="1"/>
  <c r="I417" i="3" s="1"/>
  <c r="T417" i="1"/>
  <c r="T418" i="1"/>
  <c r="T419" i="1"/>
  <c r="T420" i="1"/>
  <c r="I421" i="3" s="1"/>
  <c r="T421" i="1"/>
  <c r="I422" i="3" s="1"/>
  <c r="T422" i="1"/>
  <c r="T423" i="1"/>
  <c r="T424" i="1"/>
  <c r="I425" i="3" s="1"/>
  <c r="T425" i="1"/>
  <c r="T426" i="1"/>
  <c r="T427" i="1"/>
  <c r="T428" i="1"/>
  <c r="I429" i="3" s="1"/>
  <c r="T429" i="1"/>
  <c r="I430" i="3" s="1"/>
  <c r="T430" i="1"/>
  <c r="H81" i="3"/>
  <c r="H24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" i="3"/>
  <c r="B5" i="3"/>
  <c r="L5" i="3" s="1"/>
  <c r="B6" i="3"/>
  <c r="L6" i="3" s="1"/>
  <c r="B7" i="3"/>
  <c r="L7" i="3" s="1"/>
  <c r="B8" i="3"/>
  <c r="L8" i="3" s="1"/>
  <c r="B9" i="3"/>
  <c r="L9" i="3" s="1"/>
  <c r="B10" i="3"/>
  <c r="L10" i="3" s="1"/>
  <c r="B11" i="3"/>
  <c r="L11" i="3" s="1"/>
  <c r="B12" i="3"/>
  <c r="L12" i="3" s="1"/>
  <c r="B13" i="3"/>
  <c r="L13" i="3" s="1"/>
  <c r="B14" i="3"/>
  <c r="L14" i="3" s="1"/>
  <c r="B15" i="3"/>
  <c r="L15" i="3" s="1"/>
  <c r="B16" i="3"/>
  <c r="L16" i="3" s="1"/>
  <c r="B17" i="3"/>
  <c r="L17" i="3" s="1"/>
  <c r="B18" i="3"/>
  <c r="L18" i="3" s="1"/>
  <c r="B19" i="3"/>
  <c r="L19" i="3" s="1"/>
  <c r="B20" i="3"/>
  <c r="L20" i="3" s="1"/>
  <c r="B21" i="3"/>
  <c r="L21" i="3" s="1"/>
  <c r="B22" i="3"/>
  <c r="L22" i="3" s="1"/>
  <c r="B23" i="3"/>
  <c r="L23" i="3" s="1"/>
  <c r="B24" i="3"/>
  <c r="L24" i="3" s="1"/>
  <c r="B25" i="3"/>
  <c r="L25" i="3" s="1"/>
  <c r="B26" i="3"/>
  <c r="L26" i="3" s="1"/>
  <c r="B27" i="3"/>
  <c r="L27" i="3" s="1"/>
  <c r="B28" i="3"/>
  <c r="L28" i="3" s="1"/>
  <c r="B29" i="3"/>
  <c r="L29" i="3" s="1"/>
  <c r="B30" i="3"/>
  <c r="L30" i="3" s="1"/>
  <c r="B31" i="3"/>
  <c r="L31" i="3" s="1"/>
  <c r="B32" i="3"/>
  <c r="L32" i="3" s="1"/>
  <c r="B33" i="3"/>
  <c r="L33" i="3" s="1"/>
  <c r="B34" i="3"/>
  <c r="L34" i="3" s="1"/>
  <c r="B35" i="3"/>
  <c r="L35" i="3" s="1"/>
  <c r="B36" i="3"/>
  <c r="L36" i="3" s="1"/>
  <c r="B37" i="3"/>
  <c r="L37" i="3" s="1"/>
  <c r="B38" i="3"/>
  <c r="L38" i="3" s="1"/>
  <c r="B39" i="3"/>
  <c r="L39" i="3" s="1"/>
  <c r="B40" i="3"/>
  <c r="L40" i="3" s="1"/>
  <c r="B41" i="3"/>
  <c r="L41" i="3" s="1"/>
  <c r="B42" i="3"/>
  <c r="L42" i="3" s="1"/>
  <c r="B43" i="3"/>
  <c r="L43" i="3" s="1"/>
  <c r="B44" i="3"/>
  <c r="L44" i="3" s="1"/>
  <c r="B45" i="3"/>
  <c r="L45" i="3" s="1"/>
  <c r="B46" i="3"/>
  <c r="L46" i="3" s="1"/>
  <c r="B47" i="3"/>
  <c r="L47" i="3" s="1"/>
  <c r="B48" i="3"/>
  <c r="L48" i="3" s="1"/>
  <c r="B49" i="3"/>
  <c r="L49" i="3" s="1"/>
  <c r="B50" i="3"/>
  <c r="L50" i="3" s="1"/>
  <c r="B51" i="3"/>
  <c r="L51" i="3" s="1"/>
  <c r="B52" i="3"/>
  <c r="L52" i="3" s="1"/>
  <c r="B53" i="3"/>
  <c r="L53" i="3" s="1"/>
  <c r="B54" i="3"/>
  <c r="L54" i="3" s="1"/>
  <c r="B55" i="3"/>
  <c r="L55" i="3" s="1"/>
  <c r="B56" i="3"/>
  <c r="L56" i="3" s="1"/>
  <c r="B57" i="3"/>
  <c r="L57" i="3" s="1"/>
  <c r="B58" i="3"/>
  <c r="L58" i="3" s="1"/>
  <c r="B59" i="3"/>
  <c r="L59" i="3" s="1"/>
  <c r="B60" i="3"/>
  <c r="L60" i="3" s="1"/>
  <c r="B61" i="3"/>
  <c r="L61" i="3" s="1"/>
  <c r="B62" i="3"/>
  <c r="L62" i="3" s="1"/>
  <c r="B63" i="3"/>
  <c r="L63" i="3" s="1"/>
  <c r="B64" i="3"/>
  <c r="L64" i="3" s="1"/>
  <c r="B65" i="3"/>
  <c r="L65" i="3" s="1"/>
  <c r="B66" i="3"/>
  <c r="L66" i="3" s="1"/>
  <c r="B67" i="3"/>
  <c r="L67" i="3" s="1"/>
  <c r="B68" i="3"/>
  <c r="L68" i="3" s="1"/>
  <c r="B69" i="3"/>
  <c r="L69" i="3" s="1"/>
  <c r="B70" i="3"/>
  <c r="L70" i="3" s="1"/>
  <c r="B71" i="3"/>
  <c r="L71" i="3" s="1"/>
  <c r="B72" i="3"/>
  <c r="L72" i="3" s="1"/>
  <c r="B73" i="3"/>
  <c r="L73" i="3" s="1"/>
  <c r="B74" i="3"/>
  <c r="L74" i="3" s="1"/>
  <c r="B75" i="3"/>
  <c r="L75" i="3" s="1"/>
  <c r="B76" i="3"/>
  <c r="L76" i="3" s="1"/>
  <c r="B77" i="3"/>
  <c r="L77" i="3" s="1"/>
  <c r="B78" i="3"/>
  <c r="L78" i="3" s="1"/>
  <c r="B79" i="3"/>
  <c r="L79" i="3" s="1"/>
  <c r="B80" i="3"/>
  <c r="L80" i="3" s="1"/>
  <c r="B81" i="3"/>
  <c r="L81" i="3" s="1"/>
  <c r="B82" i="3"/>
  <c r="L82" i="3" s="1"/>
  <c r="B83" i="3"/>
  <c r="L83" i="3" s="1"/>
  <c r="B84" i="3"/>
  <c r="L84" i="3" s="1"/>
  <c r="B85" i="3"/>
  <c r="L85" i="3" s="1"/>
  <c r="B86" i="3"/>
  <c r="L86" i="3" s="1"/>
  <c r="B87" i="3"/>
  <c r="L87" i="3" s="1"/>
  <c r="B88" i="3"/>
  <c r="L88" i="3" s="1"/>
  <c r="B89" i="3"/>
  <c r="L89" i="3" s="1"/>
  <c r="B90" i="3"/>
  <c r="L90" i="3" s="1"/>
  <c r="B91" i="3"/>
  <c r="L91" i="3" s="1"/>
  <c r="B92" i="3"/>
  <c r="L92" i="3" s="1"/>
  <c r="B93" i="3"/>
  <c r="L93" i="3" s="1"/>
  <c r="B94" i="3"/>
  <c r="L94" i="3" s="1"/>
  <c r="B95" i="3"/>
  <c r="L95" i="3" s="1"/>
  <c r="B96" i="3"/>
  <c r="L96" i="3" s="1"/>
  <c r="B97" i="3"/>
  <c r="L97" i="3" s="1"/>
  <c r="B98" i="3"/>
  <c r="L98" i="3" s="1"/>
  <c r="B99" i="3"/>
  <c r="L99" i="3" s="1"/>
  <c r="B100" i="3"/>
  <c r="L100" i="3" s="1"/>
  <c r="B101" i="3"/>
  <c r="L101" i="3" s="1"/>
  <c r="B102" i="3"/>
  <c r="L102" i="3" s="1"/>
  <c r="B103" i="3"/>
  <c r="L103" i="3" s="1"/>
  <c r="B104" i="3"/>
  <c r="L104" i="3" s="1"/>
  <c r="B105" i="3"/>
  <c r="L105" i="3" s="1"/>
  <c r="B106" i="3"/>
  <c r="L106" i="3" s="1"/>
  <c r="B107" i="3"/>
  <c r="L107" i="3" s="1"/>
  <c r="B108" i="3"/>
  <c r="L108" i="3" s="1"/>
  <c r="B109" i="3"/>
  <c r="L109" i="3" s="1"/>
  <c r="B110" i="3"/>
  <c r="L110" i="3" s="1"/>
  <c r="B111" i="3"/>
  <c r="L111" i="3" s="1"/>
  <c r="B112" i="3"/>
  <c r="L112" i="3" s="1"/>
  <c r="B113" i="3"/>
  <c r="L113" i="3" s="1"/>
  <c r="B114" i="3"/>
  <c r="L114" i="3" s="1"/>
  <c r="B115" i="3"/>
  <c r="L115" i="3" s="1"/>
  <c r="B116" i="3"/>
  <c r="L116" i="3" s="1"/>
  <c r="B117" i="3"/>
  <c r="L117" i="3" s="1"/>
  <c r="B118" i="3"/>
  <c r="L118" i="3" s="1"/>
  <c r="B119" i="3"/>
  <c r="L119" i="3" s="1"/>
  <c r="B120" i="3"/>
  <c r="L120" i="3" s="1"/>
  <c r="B121" i="3"/>
  <c r="L121" i="3" s="1"/>
  <c r="B122" i="3"/>
  <c r="L122" i="3" s="1"/>
  <c r="B123" i="3"/>
  <c r="L123" i="3" s="1"/>
  <c r="B124" i="3"/>
  <c r="L124" i="3" s="1"/>
  <c r="B125" i="3"/>
  <c r="L125" i="3" s="1"/>
  <c r="B126" i="3"/>
  <c r="L126" i="3" s="1"/>
  <c r="B127" i="3"/>
  <c r="L127" i="3" s="1"/>
  <c r="B128" i="3"/>
  <c r="L128" i="3" s="1"/>
  <c r="B129" i="3"/>
  <c r="L129" i="3" s="1"/>
  <c r="B130" i="3"/>
  <c r="L130" i="3" s="1"/>
  <c r="B131" i="3"/>
  <c r="L131" i="3" s="1"/>
  <c r="B132" i="3"/>
  <c r="L132" i="3" s="1"/>
  <c r="B133" i="3"/>
  <c r="L133" i="3" s="1"/>
  <c r="B134" i="3"/>
  <c r="L134" i="3" s="1"/>
  <c r="B135" i="3"/>
  <c r="L135" i="3" s="1"/>
  <c r="B136" i="3"/>
  <c r="L136" i="3" s="1"/>
  <c r="B137" i="3"/>
  <c r="L137" i="3" s="1"/>
  <c r="B138" i="3"/>
  <c r="L138" i="3" s="1"/>
  <c r="B139" i="3"/>
  <c r="L139" i="3" s="1"/>
  <c r="B140" i="3"/>
  <c r="L140" i="3" s="1"/>
  <c r="B141" i="3"/>
  <c r="L141" i="3" s="1"/>
  <c r="B142" i="3"/>
  <c r="L142" i="3" s="1"/>
  <c r="B143" i="3"/>
  <c r="L143" i="3" s="1"/>
  <c r="B144" i="3"/>
  <c r="L144" i="3" s="1"/>
  <c r="B145" i="3"/>
  <c r="L145" i="3" s="1"/>
  <c r="B146" i="3"/>
  <c r="L146" i="3" s="1"/>
  <c r="B147" i="3"/>
  <c r="L147" i="3" s="1"/>
  <c r="B148" i="3"/>
  <c r="L148" i="3" s="1"/>
  <c r="B149" i="3"/>
  <c r="L149" i="3" s="1"/>
  <c r="B150" i="3"/>
  <c r="L150" i="3" s="1"/>
  <c r="B151" i="3"/>
  <c r="L151" i="3" s="1"/>
  <c r="B152" i="3"/>
  <c r="L152" i="3" s="1"/>
  <c r="B153" i="3"/>
  <c r="L153" i="3" s="1"/>
  <c r="B154" i="3"/>
  <c r="L154" i="3" s="1"/>
  <c r="B155" i="3"/>
  <c r="L155" i="3" s="1"/>
  <c r="B156" i="3"/>
  <c r="L156" i="3" s="1"/>
  <c r="B157" i="3"/>
  <c r="L157" i="3" s="1"/>
  <c r="B158" i="3"/>
  <c r="L158" i="3" s="1"/>
  <c r="B159" i="3"/>
  <c r="L159" i="3" s="1"/>
  <c r="B160" i="3"/>
  <c r="L160" i="3" s="1"/>
  <c r="B161" i="3"/>
  <c r="L161" i="3" s="1"/>
  <c r="B162" i="3"/>
  <c r="L162" i="3" s="1"/>
  <c r="B163" i="3"/>
  <c r="L163" i="3" s="1"/>
  <c r="B164" i="3"/>
  <c r="L164" i="3" s="1"/>
  <c r="B165" i="3"/>
  <c r="L165" i="3" s="1"/>
  <c r="B166" i="3"/>
  <c r="L166" i="3" s="1"/>
  <c r="B167" i="3"/>
  <c r="L167" i="3" s="1"/>
  <c r="B168" i="3"/>
  <c r="L168" i="3" s="1"/>
  <c r="B169" i="3"/>
  <c r="L169" i="3" s="1"/>
  <c r="B170" i="3"/>
  <c r="L170" i="3" s="1"/>
  <c r="B171" i="3"/>
  <c r="L171" i="3" s="1"/>
  <c r="B172" i="3"/>
  <c r="L172" i="3" s="1"/>
  <c r="B173" i="3"/>
  <c r="L173" i="3" s="1"/>
  <c r="B174" i="3"/>
  <c r="L174" i="3" s="1"/>
  <c r="B175" i="3"/>
  <c r="L175" i="3" s="1"/>
  <c r="B176" i="3"/>
  <c r="L176" i="3" s="1"/>
  <c r="B177" i="3"/>
  <c r="L177" i="3" s="1"/>
  <c r="B178" i="3"/>
  <c r="L178" i="3" s="1"/>
  <c r="B179" i="3"/>
  <c r="L179" i="3" s="1"/>
  <c r="B180" i="3"/>
  <c r="L180" i="3" s="1"/>
  <c r="B181" i="3"/>
  <c r="L181" i="3" s="1"/>
  <c r="B182" i="3"/>
  <c r="L182" i="3" s="1"/>
  <c r="B183" i="3"/>
  <c r="L183" i="3" s="1"/>
  <c r="B184" i="3"/>
  <c r="L184" i="3" s="1"/>
  <c r="B185" i="3"/>
  <c r="L185" i="3" s="1"/>
  <c r="B186" i="3"/>
  <c r="L186" i="3" s="1"/>
  <c r="B187" i="3"/>
  <c r="L187" i="3" s="1"/>
  <c r="B188" i="3"/>
  <c r="L188" i="3" s="1"/>
  <c r="B189" i="3"/>
  <c r="L189" i="3" s="1"/>
  <c r="B190" i="3"/>
  <c r="L190" i="3" s="1"/>
  <c r="B191" i="3"/>
  <c r="L191" i="3" s="1"/>
  <c r="B192" i="3"/>
  <c r="L192" i="3" s="1"/>
  <c r="B193" i="3"/>
  <c r="L193" i="3" s="1"/>
  <c r="B194" i="3"/>
  <c r="L194" i="3" s="1"/>
  <c r="B195" i="3"/>
  <c r="L195" i="3" s="1"/>
  <c r="B196" i="3"/>
  <c r="L196" i="3" s="1"/>
  <c r="B197" i="3"/>
  <c r="L197" i="3" s="1"/>
  <c r="B198" i="3"/>
  <c r="L198" i="3" s="1"/>
  <c r="B199" i="3"/>
  <c r="L199" i="3" s="1"/>
  <c r="B200" i="3"/>
  <c r="L200" i="3" s="1"/>
  <c r="B201" i="3"/>
  <c r="L201" i="3" s="1"/>
  <c r="B202" i="3"/>
  <c r="L202" i="3" s="1"/>
  <c r="B203" i="3"/>
  <c r="L203" i="3" s="1"/>
  <c r="B204" i="3"/>
  <c r="L204" i="3" s="1"/>
  <c r="B205" i="3"/>
  <c r="L205" i="3" s="1"/>
  <c r="B206" i="3"/>
  <c r="L206" i="3" s="1"/>
  <c r="B207" i="3"/>
  <c r="L207" i="3" s="1"/>
  <c r="B208" i="3"/>
  <c r="L208" i="3" s="1"/>
  <c r="B209" i="3"/>
  <c r="L209" i="3" s="1"/>
  <c r="B210" i="3"/>
  <c r="L210" i="3" s="1"/>
  <c r="B211" i="3"/>
  <c r="L211" i="3" s="1"/>
  <c r="B212" i="3"/>
  <c r="L212" i="3" s="1"/>
  <c r="B213" i="3"/>
  <c r="L213" i="3" s="1"/>
  <c r="B214" i="3"/>
  <c r="L214" i="3" s="1"/>
  <c r="B215" i="3"/>
  <c r="L215" i="3" s="1"/>
  <c r="B216" i="3"/>
  <c r="L216" i="3" s="1"/>
  <c r="B217" i="3"/>
  <c r="L217" i="3" s="1"/>
  <c r="B218" i="3"/>
  <c r="L218" i="3" s="1"/>
  <c r="B219" i="3"/>
  <c r="L219" i="3" s="1"/>
  <c r="B220" i="3"/>
  <c r="L220" i="3" s="1"/>
  <c r="B221" i="3"/>
  <c r="L221" i="3" s="1"/>
  <c r="B222" i="3"/>
  <c r="L222" i="3" s="1"/>
  <c r="B223" i="3"/>
  <c r="L223" i="3" s="1"/>
  <c r="B224" i="3"/>
  <c r="L224" i="3" s="1"/>
  <c r="B225" i="3"/>
  <c r="L225" i="3" s="1"/>
  <c r="B226" i="3"/>
  <c r="L226" i="3" s="1"/>
  <c r="B227" i="3"/>
  <c r="L227" i="3" s="1"/>
  <c r="B228" i="3"/>
  <c r="L228" i="3" s="1"/>
  <c r="B229" i="3"/>
  <c r="L229" i="3" s="1"/>
  <c r="B230" i="3"/>
  <c r="L230" i="3" s="1"/>
  <c r="B231" i="3"/>
  <c r="L231" i="3" s="1"/>
  <c r="B232" i="3"/>
  <c r="L232" i="3" s="1"/>
  <c r="B233" i="3"/>
  <c r="L233" i="3" s="1"/>
  <c r="B234" i="3"/>
  <c r="L234" i="3" s="1"/>
  <c r="B235" i="3"/>
  <c r="L235" i="3" s="1"/>
  <c r="B236" i="3"/>
  <c r="L236" i="3" s="1"/>
  <c r="B237" i="3"/>
  <c r="L237" i="3" s="1"/>
  <c r="B238" i="3"/>
  <c r="L238" i="3" s="1"/>
  <c r="B239" i="3"/>
  <c r="L239" i="3" s="1"/>
  <c r="B240" i="3"/>
  <c r="L240" i="3" s="1"/>
  <c r="B241" i="3"/>
  <c r="L241" i="3" s="1"/>
  <c r="B242" i="3"/>
  <c r="L242" i="3" s="1"/>
  <c r="B243" i="3"/>
  <c r="L243" i="3" s="1"/>
  <c r="B244" i="3"/>
  <c r="L244" i="3" s="1"/>
  <c r="B245" i="3"/>
  <c r="L245" i="3" s="1"/>
  <c r="B246" i="3"/>
  <c r="L246" i="3" s="1"/>
  <c r="B247" i="3"/>
  <c r="L247" i="3" s="1"/>
  <c r="B248" i="3"/>
  <c r="L248" i="3" s="1"/>
  <c r="B249" i="3"/>
  <c r="L249" i="3" s="1"/>
  <c r="B250" i="3"/>
  <c r="L250" i="3" s="1"/>
  <c r="B251" i="3"/>
  <c r="L251" i="3" s="1"/>
  <c r="B252" i="3"/>
  <c r="L252" i="3" s="1"/>
  <c r="B253" i="3"/>
  <c r="L253" i="3" s="1"/>
  <c r="B254" i="3"/>
  <c r="L254" i="3" s="1"/>
  <c r="B255" i="3"/>
  <c r="L255" i="3" s="1"/>
  <c r="B256" i="3"/>
  <c r="L256" i="3" s="1"/>
  <c r="B257" i="3"/>
  <c r="L257" i="3" s="1"/>
  <c r="B258" i="3"/>
  <c r="L258" i="3" s="1"/>
  <c r="B259" i="3"/>
  <c r="L259" i="3" s="1"/>
  <c r="B260" i="3"/>
  <c r="L260" i="3" s="1"/>
  <c r="B261" i="3"/>
  <c r="L261" i="3" s="1"/>
  <c r="B262" i="3"/>
  <c r="L262" i="3" s="1"/>
  <c r="B263" i="3"/>
  <c r="L263" i="3" s="1"/>
  <c r="B264" i="3"/>
  <c r="L264" i="3" s="1"/>
  <c r="B265" i="3"/>
  <c r="L265" i="3" s="1"/>
  <c r="B266" i="3"/>
  <c r="L266" i="3" s="1"/>
  <c r="B267" i="3"/>
  <c r="L267" i="3" s="1"/>
  <c r="B268" i="3"/>
  <c r="L268" i="3" s="1"/>
  <c r="B269" i="3"/>
  <c r="L269" i="3" s="1"/>
  <c r="B270" i="3"/>
  <c r="L270" i="3" s="1"/>
  <c r="B271" i="3"/>
  <c r="L271" i="3" s="1"/>
  <c r="B272" i="3"/>
  <c r="L272" i="3" s="1"/>
  <c r="B273" i="3"/>
  <c r="L273" i="3" s="1"/>
  <c r="B274" i="3"/>
  <c r="L274" i="3" s="1"/>
  <c r="B275" i="3"/>
  <c r="L275" i="3" s="1"/>
  <c r="B276" i="3"/>
  <c r="L276" i="3" s="1"/>
  <c r="B277" i="3"/>
  <c r="L277" i="3" s="1"/>
  <c r="B278" i="3"/>
  <c r="L278" i="3" s="1"/>
  <c r="B279" i="3"/>
  <c r="L279" i="3" s="1"/>
  <c r="B280" i="3"/>
  <c r="L280" i="3" s="1"/>
  <c r="B281" i="3"/>
  <c r="L281" i="3" s="1"/>
  <c r="B282" i="3"/>
  <c r="L282" i="3" s="1"/>
  <c r="B283" i="3"/>
  <c r="L283" i="3" s="1"/>
  <c r="B284" i="3"/>
  <c r="L284" i="3" s="1"/>
  <c r="B285" i="3"/>
  <c r="L285" i="3" s="1"/>
  <c r="B286" i="3"/>
  <c r="L286" i="3" s="1"/>
  <c r="B287" i="3"/>
  <c r="L287" i="3" s="1"/>
  <c r="B288" i="3"/>
  <c r="L288" i="3" s="1"/>
  <c r="B289" i="3"/>
  <c r="L289" i="3" s="1"/>
  <c r="B290" i="3"/>
  <c r="L290" i="3" s="1"/>
  <c r="B291" i="3"/>
  <c r="L291" i="3" s="1"/>
  <c r="B292" i="3"/>
  <c r="L292" i="3" s="1"/>
  <c r="B293" i="3"/>
  <c r="L293" i="3" s="1"/>
  <c r="B294" i="3"/>
  <c r="L294" i="3" s="1"/>
  <c r="B295" i="3"/>
  <c r="L295" i="3" s="1"/>
  <c r="B296" i="3"/>
  <c r="L296" i="3" s="1"/>
  <c r="B297" i="3"/>
  <c r="L297" i="3" s="1"/>
  <c r="B298" i="3"/>
  <c r="L298" i="3" s="1"/>
  <c r="B299" i="3"/>
  <c r="L299" i="3" s="1"/>
  <c r="B300" i="3"/>
  <c r="L300" i="3" s="1"/>
  <c r="B301" i="3"/>
  <c r="L301" i="3" s="1"/>
  <c r="B302" i="3"/>
  <c r="L302" i="3" s="1"/>
  <c r="B303" i="3"/>
  <c r="L303" i="3" s="1"/>
  <c r="B304" i="3"/>
  <c r="L304" i="3" s="1"/>
  <c r="B305" i="3"/>
  <c r="L305" i="3" s="1"/>
  <c r="B306" i="3"/>
  <c r="L306" i="3" s="1"/>
  <c r="B307" i="3"/>
  <c r="L307" i="3" s="1"/>
  <c r="B308" i="3"/>
  <c r="L308" i="3" s="1"/>
  <c r="B309" i="3"/>
  <c r="L309" i="3" s="1"/>
  <c r="B310" i="3"/>
  <c r="L310" i="3" s="1"/>
  <c r="B311" i="3"/>
  <c r="L311" i="3" s="1"/>
  <c r="B312" i="3"/>
  <c r="L312" i="3" s="1"/>
  <c r="B313" i="3"/>
  <c r="L313" i="3" s="1"/>
  <c r="B314" i="3"/>
  <c r="L314" i="3" s="1"/>
  <c r="B315" i="3"/>
  <c r="L315" i="3" s="1"/>
  <c r="B316" i="3"/>
  <c r="L316" i="3" s="1"/>
  <c r="B317" i="3"/>
  <c r="L317" i="3" s="1"/>
  <c r="B318" i="3"/>
  <c r="L318" i="3" s="1"/>
  <c r="B319" i="3"/>
  <c r="L319" i="3" s="1"/>
  <c r="B320" i="3"/>
  <c r="L320" i="3" s="1"/>
  <c r="B321" i="3"/>
  <c r="L321" i="3" s="1"/>
  <c r="B322" i="3"/>
  <c r="L322" i="3" s="1"/>
  <c r="B323" i="3"/>
  <c r="L323" i="3" s="1"/>
  <c r="B324" i="3"/>
  <c r="L324" i="3" s="1"/>
  <c r="B325" i="3"/>
  <c r="L325" i="3" s="1"/>
  <c r="B326" i="3"/>
  <c r="L326" i="3" s="1"/>
  <c r="B327" i="3"/>
  <c r="L327" i="3" s="1"/>
  <c r="B328" i="3"/>
  <c r="L328" i="3" s="1"/>
  <c r="B329" i="3"/>
  <c r="L329" i="3" s="1"/>
  <c r="B330" i="3"/>
  <c r="L330" i="3" s="1"/>
  <c r="B331" i="3"/>
  <c r="L331" i="3" s="1"/>
  <c r="B332" i="3"/>
  <c r="L332" i="3" s="1"/>
  <c r="B333" i="3"/>
  <c r="L333" i="3" s="1"/>
  <c r="B334" i="3"/>
  <c r="L334" i="3" s="1"/>
  <c r="B335" i="3"/>
  <c r="L335" i="3" s="1"/>
  <c r="B336" i="3"/>
  <c r="L336" i="3" s="1"/>
  <c r="B337" i="3"/>
  <c r="L337" i="3" s="1"/>
  <c r="B338" i="3"/>
  <c r="L338" i="3" s="1"/>
  <c r="B339" i="3"/>
  <c r="L339" i="3" s="1"/>
  <c r="B340" i="3"/>
  <c r="L340" i="3" s="1"/>
  <c r="B341" i="3"/>
  <c r="L341" i="3" s="1"/>
  <c r="B342" i="3"/>
  <c r="L342" i="3" s="1"/>
  <c r="B343" i="3"/>
  <c r="L343" i="3" s="1"/>
  <c r="B344" i="3"/>
  <c r="L344" i="3" s="1"/>
  <c r="B345" i="3"/>
  <c r="L345" i="3" s="1"/>
  <c r="B346" i="3"/>
  <c r="L346" i="3" s="1"/>
  <c r="B347" i="3"/>
  <c r="L347" i="3" s="1"/>
  <c r="B348" i="3"/>
  <c r="L348" i="3" s="1"/>
  <c r="B349" i="3"/>
  <c r="L349" i="3" s="1"/>
  <c r="B350" i="3"/>
  <c r="L350" i="3" s="1"/>
  <c r="B351" i="3"/>
  <c r="L351" i="3" s="1"/>
  <c r="B352" i="3"/>
  <c r="L352" i="3" s="1"/>
  <c r="B353" i="3"/>
  <c r="L353" i="3" s="1"/>
  <c r="B354" i="3"/>
  <c r="L354" i="3" s="1"/>
  <c r="B355" i="3"/>
  <c r="L355" i="3" s="1"/>
  <c r="B356" i="3"/>
  <c r="L356" i="3" s="1"/>
  <c r="B357" i="3"/>
  <c r="L357" i="3" s="1"/>
  <c r="B358" i="3"/>
  <c r="L358" i="3" s="1"/>
  <c r="B359" i="3"/>
  <c r="L359" i="3" s="1"/>
  <c r="B360" i="3"/>
  <c r="L360" i="3" s="1"/>
  <c r="B361" i="3"/>
  <c r="L361" i="3" s="1"/>
  <c r="B362" i="3"/>
  <c r="L362" i="3" s="1"/>
  <c r="B363" i="3"/>
  <c r="L363" i="3" s="1"/>
  <c r="B364" i="3"/>
  <c r="L364" i="3" s="1"/>
  <c r="B365" i="3"/>
  <c r="L365" i="3" s="1"/>
  <c r="B366" i="3"/>
  <c r="L366" i="3" s="1"/>
  <c r="B367" i="3"/>
  <c r="L367" i="3" s="1"/>
  <c r="B368" i="3"/>
  <c r="L368" i="3" s="1"/>
  <c r="B369" i="3"/>
  <c r="L369" i="3" s="1"/>
  <c r="B370" i="3"/>
  <c r="L370" i="3" s="1"/>
  <c r="B371" i="3"/>
  <c r="L371" i="3" s="1"/>
  <c r="B372" i="3"/>
  <c r="L372" i="3" s="1"/>
  <c r="B373" i="3"/>
  <c r="L373" i="3" s="1"/>
  <c r="B374" i="3"/>
  <c r="L374" i="3" s="1"/>
  <c r="B375" i="3"/>
  <c r="L375" i="3" s="1"/>
  <c r="B376" i="3"/>
  <c r="L376" i="3" s="1"/>
  <c r="B377" i="3"/>
  <c r="L377" i="3" s="1"/>
  <c r="B378" i="3"/>
  <c r="L378" i="3" s="1"/>
  <c r="B379" i="3"/>
  <c r="L379" i="3" s="1"/>
  <c r="B380" i="3"/>
  <c r="L380" i="3" s="1"/>
  <c r="B381" i="3"/>
  <c r="L381" i="3" s="1"/>
  <c r="B382" i="3"/>
  <c r="L382" i="3" s="1"/>
  <c r="B383" i="3"/>
  <c r="L383" i="3" s="1"/>
  <c r="B384" i="3"/>
  <c r="L384" i="3" s="1"/>
  <c r="B385" i="3"/>
  <c r="L385" i="3" s="1"/>
  <c r="B386" i="3"/>
  <c r="L386" i="3" s="1"/>
  <c r="B387" i="3"/>
  <c r="L387" i="3" s="1"/>
  <c r="B388" i="3"/>
  <c r="L388" i="3" s="1"/>
  <c r="B389" i="3"/>
  <c r="L389" i="3" s="1"/>
  <c r="B390" i="3"/>
  <c r="L390" i="3" s="1"/>
  <c r="B391" i="3"/>
  <c r="L391" i="3" s="1"/>
  <c r="B392" i="3"/>
  <c r="L392" i="3" s="1"/>
  <c r="B393" i="3"/>
  <c r="L393" i="3" s="1"/>
  <c r="B394" i="3"/>
  <c r="L394" i="3" s="1"/>
  <c r="B395" i="3"/>
  <c r="L395" i="3" s="1"/>
  <c r="B396" i="3"/>
  <c r="L396" i="3" s="1"/>
  <c r="B397" i="3"/>
  <c r="L397" i="3" s="1"/>
  <c r="B398" i="3"/>
  <c r="L398" i="3" s="1"/>
  <c r="B399" i="3"/>
  <c r="L399" i="3" s="1"/>
  <c r="B400" i="3"/>
  <c r="L400" i="3" s="1"/>
  <c r="B401" i="3"/>
  <c r="L401" i="3" s="1"/>
  <c r="B402" i="3"/>
  <c r="L402" i="3" s="1"/>
  <c r="B403" i="3"/>
  <c r="L403" i="3" s="1"/>
  <c r="B404" i="3"/>
  <c r="L404" i="3" s="1"/>
  <c r="B405" i="3"/>
  <c r="L405" i="3" s="1"/>
  <c r="B406" i="3"/>
  <c r="L406" i="3" s="1"/>
  <c r="B407" i="3"/>
  <c r="L407" i="3" s="1"/>
  <c r="B408" i="3"/>
  <c r="L408" i="3" s="1"/>
  <c r="B409" i="3"/>
  <c r="L409" i="3" s="1"/>
  <c r="B410" i="3"/>
  <c r="L410" i="3" s="1"/>
  <c r="B411" i="3"/>
  <c r="L411" i="3" s="1"/>
  <c r="B412" i="3"/>
  <c r="L412" i="3" s="1"/>
  <c r="B413" i="3"/>
  <c r="L413" i="3" s="1"/>
  <c r="B414" i="3"/>
  <c r="L414" i="3" s="1"/>
  <c r="B415" i="3"/>
  <c r="L415" i="3" s="1"/>
  <c r="B416" i="3"/>
  <c r="L416" i="3" s="1"/>
  <c r="B417" i="3"/>
  <c r="L417" i="3" s="1"/>
  <c r="B418" i="3"/>
  <c r="L418" i="3" s="1"/>
  <c r="B419" i="3"/>
  <c r="L419" i="3" s="1"/>
  <c r="B420" i="3"/>
  <c r="L420" i="3" s="1"/>
  <c r="B421" i="3"/>
  <c r="L421" i="3" s="1"/>
  <c r="B422" i="3"/>
  <c r="L422" i="3" s="1"/>
  <c r="B423" i="3"/>
  <c r="L423" i="3" s="1"/>
  <c r="B424" i="3"/>
  <c r="L424" i="3" s="1"/>
  <c r="B425" i="3"/>
  <c r="L425" i="3" s="1"/>
  <c r="B426" i="3"/>
  <c r="L426" i="3" s="1"/>
  <c r="B427" i="3"/>
  <c r="L427" i="3" s="1"/>
  <c r="B428" i="3"/>
  <c r="L428" i="3" s="1"/>
  <c r="B429" i="3"/>
  <c r="L429" i="3" s="1"/>
  <c r="B430" i="3"/>
  <c r="L430" i="3" s="1"/>
  <c r="B431" i="3"/>
  <c r="L431" i="3" s="1"/>
  <c r="B4" i="3"/>
  <c r="L4" i="3" s="1"/>
  <c r="H337" i="3" l="1"/>
  <c r="F136" i="3"/>
  <c r="I182" i="3"/>
  <c r="I110" i="3"/>
  <c r="I98" i="3"/>
  <c r="J98" i="3"/>
  <c r="D80" i="3"/>
  <c r="F351" i="3"/>
  <c r="F91" i="3"/>
  <c r="F83" i="3"/>
  <c r="G351" i="3"/>
  <c r="G327" i="3"/>
  <c r="G303" i="3"/>
  <c r="G155" i="3"/>
  <c r="G91" i="3"/>
  <c r="H351" i="3"/>
  <c r="H155" i="3"/>
  <c r="F24" i="3"/>
  <c r="I313" i="3"/>
  <c r="I265" i="3"/>
  <c r="I217" i="3"/>
  <c r="I209" i="3"/>
  <c r="I193" i="3"/>
  <c r="I141" i="3"/>
  <c r="I69" i="3"/>
  <c r="I53" i="3"/>
  <c r="J333" i="3"/>
  <c r="J217" i="3"/>
  <c r="J209" i="3"/>
  <c r="J193" i="3"/>
  <c r="J173" i="3"/>
  <c r="J141" i="3"/>
  <c r="J69" i="3"/>
  <c r="J53" i="3"/>
  <c r="D427" i="3"/>
  <c r="D395" i="3"/>
  <c r="D371" i="3"/>
  <c r="D327" i="3"/>
  <c r="D287" i="3"/>
  <c r="D267" i="3"/>
  <c r="D211" i="3"/>
  <c r="D203" i="3"/>
  <c r="D191" i="3"/>
  <c r="D183" i="3"/>
  <c r="D175" i="3"/>
  <c r="D143" i="3"/>
  <c r="D131" i="3"/>
  <c r="D123" i="3"/>
  <c r="D115" i="3"/>
  <c r="D107" i="3"/>
  <c r="D91" i="3"/>
  <c r="D83" i="3"/>
  <c r="D55" i="3"/>
  <c r="D43" i="3"/>
  <c r="D11" i="3"/>
  <c r="E431" i="3"/>
  <c r="E351" i="3"/>
  <c r="E327" i="3"/>
  <c r="E303" i="3"/>
  <c r="E287" i="3"/>
  <c r="E263" i="3"/>
  <c r="E255" i="3"/>
  <c r="E211" i="3"/>
  <c r="E203" i="3"/>
  <c r="E179" i="3"/>
  <c r="E171" i="3"/>
  <c r="E155" i="3"/>
  <c r="I102" i="3"/>
  <c r="I30" i="3"/>
  <c r="J182" i="3"/>
  <c r="J110" i="3"/>
  <c r="J102" i="3"/>
  <c r="J30" i="3"/>
  <c r="D276" i="3"/>
  <c r="D88" i="3"/>
  <c r="E276" i="3"/>
  <c r="E88" i="3"/>
  <c r="E80" i="3"/>
  <c r="F263" i="3"/>
  <c r="F155" i="3"/>
  <c r="F75" i="3"/>
  <c r="G263" i="3"/>
  <c r="G171" i="3"/>
  <c r="G83" i="3"/>
  <c r="G75" i="3"/>
  <c r="H307" i="3"/>
  <c r="H184" i="3"/>
  <c r="H263" i="3"/>
  <c r="H75" i="3"/>
  <c r="I365" i="3"/>
  <c r="I333" i="3"/>
  <c r="I305" i="3"/>
  <c r="I297" i="3"/>
  <c r="I229" i="3"/>
  <c r="I221" i="3"/>
  <c r="I205" i="3"/>
  <c r="I197" i="3"/>
  <c r="I173" i="3"/>
  <c r="I153" i="3"/>
  <c r="I145" i="3"/>
  <c r="I129" i="3"/>
  <c r="I113" i="3"/>
  <c r="I89" i="3"/>
  <c r="I81" i="3"/>
  <c r="I65" i="3"/>
  <c r="I57" i="3"/>
  <c r="I33" i="3"/>
  <c r="I13" i="3"/>
  <c r="J365" i="3"/>
  <c r="J313" i="3"/>
  <c r="J305" i="3"/>
  <c r="J297" i="3"/>
  <c r="J265" i="3"/>
  <c r="J229" i="3"/>
  <c r="J221" i="3"/>
  <c r="J205" i="3"/>
  <c r="J197" i="3"/>
  <c r="J153" i="3"/>
  <c r="J145" i="3"/>
  <c r="J129" i="3"/>
  <c r="J113" i="3"/>
  <c r="J89" i="3"/>
  <c r="J81" i="3"/>
  <c r="J65" i="3"/>
  <c r="J57" i="3"/>
  <c r="J33" i="3"/>
  <c r="J13" i="3"/>
  <c r="D431" i="3"/>
  <c r="D383" i="3"/>
  <c r="D351" i="3"/>
  <c r="D303" i="3"/>
  <c r="D263" i="3"/>
  <c r="D255" i="3"/>
  <c r="D223" i="3"/>
  <c r="D207" i="3"/>
  <c r="D179" i="3"/>
  <c r="D171" i="3"/>
  <c r="D155" i="3"/>
  <c r="D103" i="3"/>
  <c r="D87" i="3"/>
  <c r="D75" i="3"/>
  <c r="D51" i="3"/>
  <c r="D23" i="3"/>
  <c r="E427" i="3"/>
  <c r="E395" i="3"/>
  <c r="E371" i="3"/>
  <c r="E267" i="3"/>
  <c r="E259" i="3"/>
  <c r="E223" i="3"/>
  <c r="E207" i="3"/>
  <c r="E191" i="3"/>
  <c r="E183" i="3"/>
  <c r="E175" i="3"/>
  <c r="E143" i="3"/>
  <c r="E103" i="3"/>
  <c r="E87" i="3"/>
  <c r="E55" i="3"/>
  <c r="E43" i="3"/>
  <c r="E11" i="3"/>
  <c r="F398" i="3"/>
  <c r="F390" i="3"/>
  <c r="F374" i="3"/>
  <c r="F310" i="3"/>
  <c r="F302" i="3"/>
  <c r="F294" i="3"/>
  <c r="F286" i="3"/>
  <c r="F270" i="3"/>
  <c r="F234" i="3"/>
  <c r="F226" i="3"/>
  <c r="F182" i="3"/>
  <c r="F150" i="3"/>
  <c r="F130" i="3"/>
  <c r="F122" i="3"/>
  <c r="F110" i="3"/>
  <c r="F102" i="3"/>
  <c r="F82" i="3"/>
  <c r="F66" i="3"/>
  <c r="F26" i="3"/>
  <c r="G398" i="3"/>
  <c r="G390" i="3"/>
  <c r="G302" i="3"/>
  <c r="G294" i="3"/>
  <c r="G286" i="3"/>
  <c r="G270" i="3"/>
  <c r="G266" i="3"/>
  <c r="G234" i="3"/>
  <c r="G226" i="3"/>
  <c r="G182" i="3"/>
  <c r="G150" i="3"/>
  <c r="G142" i="3"/>
  <c r="G102" i="3"/>
  <c r="G82" i="3"/>
  <c r="G66" i="3"/>
  <c r="G26" i="3"/>
  <c r="H398" i="3"/>
  <c r="H390" i="3"/>
  <c r="H374" i="3"/>
  <c r="H310" i="3"/>
  <c r="H302" i="3"/>
  <c r="H294" i="3"/>
  <c r="H286" i="3"/>
  <c r="H270" i="3"/>
  <c r="H234" i="3"/>
  <c r="H226" i="3"/>
  <c r="H202" i="3"/>
  <c r="H162" i="3"/>
  <c r="H146" i="3"/>
  <c r="H130" i="3"/>
  <c r="H122" i="3"/>
  <c r="H98" i="3"/>
  <c r="H90" i="3"/>
  <c r="H82" i="3"/>
  <c r="H66" i="3"/>
  <c r="H30" i="3"/>
  <c r="H26" i="3"/>
  <c r="H14" i="3"/>
  <c r="I424" i="3"/>
  <c r="I408" i="3"/>
  <c r="I400" i="3"/>
  <c r="I380" i="3"/>
  <c r="I372" i="3"/>
  <c r="I344" i="3"/>
  <c r="I320" i="3"/>
  <c r="I292" i="3"/>
  <c r="I288" i="3"/>
  <c r="I280" i="3"/>
  <c r="I276" i="3"/>
  <c r="I272" i="3"/>
  <c r="I268" i="3"/>
  <c r="I256" i="3"/>
  <c r="I248" i="3"/>
  <c r="I236" i="3"/>
  <c r="I228" i="3"/>
  <c r="I224" i="3"/>
  <c r="I188" i="3"/>
  <c r="I176" i="3"/>
  <c r="I132" i="3"/>
  <c r="I120" i="3"/>
  <c r="I116" i="3"/>
  <c r="I108" i="3"/>
  <c r="I84" i="3"/>
  <c r="I28" i="3"/>
  <c r="I16" i="3"/>
  <c r="J424" i="3"/>
  <c r="J408" i="3"/>
  <c r="J400" i="3"/>
  <c r="J380" i="3"/>
  <c r="J372" i="3"/>
  <c r="J344" i="3"/>
  <c r="J320" i="3"/>
  <c r="J292" i="3"/>
  <c r="J288" i="3"/>
  <c r="J280" i="3"/>
  <c r="J276" i="3"/>
  <c r="J272" i="3"/>
  <c r="J268" i="3"/>
  <c r="J256" i="3"/>
  <c r="J248" i="3"/>
  <c r="J236" i="3"/>
  <c r="J228" i="3"/>
  <c r="J224" i="3"/>
  <c r="J188" i="3"/>
  <c r="J176" i="3"/>
  <c r="J132" i="3"/>
  <c r="J120" i="3"/>
  <c r="J116" i="3"/>
  <c r="J108" i="3"/>
  <c r="J84" i="3"/>
  <c r="J28" i="3"/>
  <c r="J16" i="3"/>
  <c r="D426" i="3"/>
  <c r="D394" i="3"/>
  <c r="D386" i="3"/>
  <c r="D378" i="3"/>
  <c r="D374" i="3"/>
  <c r="D298" i="3"/>
  <c r="D290" i="3"/>
  <c r="D286" i="3"/>
  <c r="D270" i="3"/>
  <c r="D266" i="3"/>
  <c r="D250" i="3"/>
  <c r="D246" i="3"/>
  <c r="D234" i="3"/>
  <c r="D206" i="3"/>
  <c r="D202" i="3"/>
  <c r="D190" i="3"/>
  <c r="D154" i="3"/>
  <c r="D122" i="3"/>
  <c r="D70" i="3"/>
  <c r="D66" i="3"/>
  <c r="E426" i="3"/>
  <c r="E394" i="3"/>
  <c r="E386" i="3"/>
  <c r="E378" i="3"/>
  <c r="E374" i="3"/>
  <c r="E298" i="3"/>
  <c r="E290" i="3"/>
  <c r="E286" i="3"/>
  <c r="E274" i="3"/>
  <c r="E270" i="3"/>
  <c r="E266" i="3"/>
  <c r="E258" i="3"/>
  <c r="E250" i="3"/>
  <c r="E246" i="3"/>
  <c r="E234" i="3"/>
  <c r="E206" i="3"/>
  <c r="E202" i="3"/>
  <c r="E190" i="3"/>
  <c r="E154" i="3"/>
  <c r="E122" i="3"/>
  <c r="E102" i="3"/>
  <c r="E70" i="3"/>
  <c r="E66" i="3"/>
  <c r="F429" i="3"/>
  <c r="F417" i="3"/>
  <c r="F405" i="3"/>
  <c r="E131" i="3"/>
  <c r="E115" i="3"/>
  <c r="E107" i="3"/>
  <c r="E91" i="3"/>
  <c r="E83" i="3"/>
  <c r="E75" i="3"/>
  <c r="E51" i="3"/>
  <c r="E23" i="3"/>
  <c r="F426" i="3"/>
  <c r="F386" i="3"/>
  <c r="F298" i="3"/>
  <c r="F290" i="3"/>
  <c r="F274" i="3"/>
  <c r="F266" i="3"/>
  <c r="F238" i="3"/>
  <c r="F230" i="3"/>
  <c r="F202" i="3"/>
  <c r="F162" i="3"/>
  <c r="F146" i="3"/>
  <c r="F142" i="3"/>
  <c r="F98" i="3"/>
  <c r="F90" i="3"/>
  <c r="F30" i="3"/>
  <c r="G426" i="3"/>
  <c r="G386" i="3"/>
  <c r="G374" i="3"/>
  <c r="G310" i="3"/>
  <c r="G298" i="3"/>
  <c r="G290" i="3"/>
  <c r="G274" i="3"/>
  <c r="G238" i="3"/>
  <c r="G230" i="3"/>
  <c r="G202" i="3"/>
  <c r="G162" i="3"/>
  <c r="G146" i="3"/>
  <c r="G130" i="3"/>
  <c r="G122" i="3"/>
  <c r="G110" i="3"/>
  <c r="G98" i="3"/>
  <c r="G90" i="3"/>
  <c r="G30" i="3"/>
  <c r="H426" i="3"/>
  <c r="H386" i="3"/>
  <c r="H298" i="3"/>
  <c r="H290" i="3"/>
  <c r="H274" i="3"/>
  <c r="H266" i="3"/>
  <c r="H238" i="3"/>
  <c r="H230" i="3"/>
  <c r="H182" i="3"/>
  <c r="H150" i="3"/>
  <c r="H142" i="3"/>
  <c r="H110" i="3"/>
  <c r="H102" i="3"/>
  <c r="I383" i="3"/>
  <c r="I379" i="3"/>
  <c r="I375" i="3"/>
  <c r="I351" i="3"/>
  <c r="I331" i="3"/>
  <c r="I315" i="3"/>
  <c r="I307" i="3"/>
  <c r="I263" i="3"/>
  <c r="J383" i="3"/>
  <c r="J379" i="3"/>
  <c r="J375" i="3"/>
  <c r="J351" i="3"/>
  <c r="J331" i="3"/>
  <c r="J315" i="3"/>
  <c r="J307" i="3"/>
  <c r="J263" i="3"/>
  <c r="D405" i="3"/>
  <c r="D397" i="3"/>
  <c r="D377" i="3"/>
  <c r="D361" i="3"/>
  <c r="D297" i="3"/>
  <c r="D221" i="3"/>
  <c r="D209" i="3"/>
  <c r="D181" i="3"/>
  <c r="D69" i="3"/>
  <c r="E405" i="3"/>
  <c r="E397" i="3"/>
  <c r="E377" i="3"/>
  <c r="E361" i="3"/>
  <c r="E297" i="3"/>
  <c r="F397" i="3"/>
  <c r="F385" i="3"/>
  <c r="F365" i="3"/>
  <c r="F361" i="3"/>
  <c r="F357" i="3"/>
  <c r="F313" i="3"/>
  <c r="F305" i="3"/>
  <c r="F297" i="3"/>
  <c r="F229" i="3"/>
  <c r="F221" i="3"/>
  <c r="F217" i="3"/>
  <c r="F209" i="3"/>
  <c r="F201" i="3"/>
  <c r="F197" i="3"/>
  <c r="F193" i="3"/>
  <c r="F177" i="3"/>
  <c r="F161" i="3"/>
  <c r="F153" i="3"/>
  <c r="F145" i="3"/>
  <c r="F141" i="3"/>
  <c r="F137" i="3"/>
  <c r="F133" i="3"/>
  <c r="F129" i="3"/>
  <c r="F117" i="3"/>
  <c r="F69" i="3"/>
  <c r="F53" i="3"/>
  <c r="F45" i="3"/>
  <c r="F33" i="3"/>
  <c r="G405" i="3"/>
  <c r="G397" i="3"/>
  <c r="G385" i="3"/>
  <c r="G365" i="3"/>
  <c r="G361" i="3"/>
  <c r="G357" i="3"/>
  <c r="G297" i="3"/>
  <c r="G221" i="3"/>
  <c r="G209" i="3"/>
  <c r="G193" i="3"/>
  <c r="G153" i="3"/>
  <c r="G133" i="3"/>
  <c r="G129" i="3"/>
  <c r="G117" i="3"/>
  <c r="G69" i="3"/>
  <c r="G53" i="3"/>
  <c r="G45" i="3"/>
  <c r="G37" i="3"/>
  <c r="H429" i="3"/>
  <c r="H417" i="3"/>
  <c r="H405" i="3"/>
  <c r="H397" i="3"/>
  <c r="H385" i="3"/>
  <c r="H365" i="3"/>
  <c r="H361" i="3"/>
  <c r="H357" i="3"/>
  <c r="H313" i="3"/>
  <c r="H305" i="3"/>
  <c r="H297" i="3"/>
  <c r="H229" i="3"/>
  <c r="H221" i="3"/>
  <c r="H217" i="3"/>
  <c r="H209" i="3"/>
  <c r="H201" i="3"/>
  <c r="H197" i="3"/>
  <c r="H193" i="3"/>
  <c r="H177" i="3"/>
  <c r="H161" i="3"/>
  <c r="H153" i="3"/>
  <c r="H149" i="3"/>
  <c r="H145" i="3"/>
  <c r="H141" i="3"/>
  <c r="H137" i="3"/>
  <c r="H133" i="3"/>
  <c r="H129" i="3"/>
  <c r="H117" i="3"/>
  <c r="H109" i="3"/>
  <c r="H89" i="3"/>
  <c r="H77" i="3"/>
  <c r="H69" i="3"/>
  <c r="H53" i="3"/>
  <c r="H45" i="3"/>
  <c r="H41" i="3"/>
  <c r="H37" i="3"/>
  <c r="H33" i="3"/>
  <c r="H9" i="3"/>
  <c r="H5" i="3"/>
  <c r="E221" i="3"/>
  <c r="E209" i="3"/>
  <c r="E181" i="3"/>
  <c r="E69" i="3"/>
  <c r="F392" i="3"/>
  <c r="F380" i="3"/>
  <c r="F372" i="3"/>
  <c r="F328" i="3"/>
  <c r="F320" i="3"/>
  <c r="F288" i="3"/>
  <c r="F276" i="3"/>
  <c r="F268" i="3"/>
  <c r="F256" i="3"/>
  <c r="F248" i="3"/>
  <c r="F228" i="3"/>
  <c r="F188" i="3"/>
  <c r="F176" i="3"/>
  <c r="G392" i="3"/>
  <c r="G380" i="3"/>
  <c r="G372" i="3"/>
  <c r="G320" i="3"/>
  <c r="G288" i="3"/>
  <c r="G276" i="3"/>
  <c r="G268" i="3"/>
  <c r="G256" i="3"/>
  <c r="G248" i="3"/>
  <c r="G228" i="3"/>
  <c r="G188" i="3"/>
  <c r="G176" i="3"/>
  <c r="G156" i="3"/>
  <c r="G120" i="3"/>
  <c r="H424" i="3"/>
  <c r="H400" i="3"/>
  <c r="H392" i="3"/>
  <c r="H380" i="3"/>
  <c r="H372" i="3"/>
  <c r="H348" i="3"/>
  <c r="H340" i="3"/>
  <c r="H320" i="3"/>
  <c r="H288" i="3"/>
  <c r="H284" i="3"/>
  <c r="H280" i="3"/>
  <c r="H276" i="3"/>
  <c r="H272" i="3"/>
  <c r="H268" i="3"/>
  <c r="H256" i="3"/>
  <c r="H248" i="3"/>
  <c r="H236" i="3"/>
  <c r="H228" i="3"/>
  <c r="H188" i="3"/>
  <c r="H176" i="3"/>
  <c r="H156" i="3"/>
  <c r="H148" i="3"/>
  <c r="H120" i="3"/>
  <c r="H108" i="3"/>
  <c r="H84" i="3"/>
  <c r="H28" i="3"/>
  <c r="H12" i="3"/>
  <c r="I349" i="3"/>
  <c r="I341" i="3"/>
  <c r="I309" i="3"/>
  <c r="I185" i="3"/>
  <c r="I157" i="3"/>
  <c r="I121" i="3"/>
  <c r="I61" i="3"/>
  <c r="I21" i="3"/>
  <c r="J321" i="3"/>
  <c r="J185" i="3"/>
  <c r="J157" i="3"/>
  <c r="J121" i="3"/>
  <c r="J97" i="3"/>
  <c r="J73" i="3"/>
  <c r="J61" i="3"/>
  <c r="J21" i="3"/>
  <c r="D291" i="3"/>
  <c r="D243" i="3"/>
  <c r="D219" i="3"/>
  <c r="D151" i="3"/>
  <c r="D135" i="3"/>
  <c r="D111" i="3"/>
  <c r="D79" i="3"/>
  <c r="D71" i="3"/>
  <c r="D47" i="3"/>
  <c r="D39" i="3"/>
  <c r="D31" i="3"/>
  <c r="E151" i="3"/>
  <c r="E135" i="3"/>
  <c r="E123" i="3"/>
  <c r="E99" i="3"/>
  <c r="E95" i="3"/>
  <c r="E383" i="3"/>
  <c r="I321" i="3"/>
  <c r="I101" i="3"/>
  <c r="I97" i="3"/>
  <c r="I73" i="3"/>
  <c r="I25" i="3"/>
  <c r="I17" i="3"/>
  <c r="J349" i="3"/>
  <c r="J341" i="3"/>
  <c r="J309" i="3"/>
  <c r="J101" i="3"/>
  <c r="J25" i="3"/>
  <c r="J17" i="3"/>
  <c r="D379" i="3"/>
  <c r="D9" i="3"/>
  <c r="D163" i="3"/>
  <c r="D139" i="3"/>
  <c r="D99" i="3"/>
  <c r="D67" i="3"/>
  <c r="E291" i="3"/>
  <c r="E219" i="3"/>
  <c r="E163" i="3"/>
  <c r="E139" i="3"/>
  <c r="E111" i="3"/>
  <c r="E79" i="3"/>
  <c r="E67" i="3"/>
  <c r="F382" i="3"/>
  <c r="F106" i="3"/>
  <c r="F94" i="3"/>
  <c r="F86" i="3"/>
  <c r="F54" i="3"/>
  <c r="F46" i="3"/>
  <c r="F14" i="3"/>
  <c r="G382" i="3"/>
  <c r="G362" i="3"/>
  <c r="G242" i="3"/>
  <c r="G218" i="3"/>
  <c r="F196" i="3"/>
  <c r="I426" i="3"/>
  <c r="I418" i="3"/>
  <c r="I414" i="3"/>
  <c r="I386" i="3"/>
  <c r="I382" i="3"/>
  <c r="I378" i="3"/>
  <c r="I374" i="3"/>
  <c r="I370" i="3"/>
  <c r="I366" i="3"/>
  <c r="I362" i="3"/>
  <c r="I338" i="3"/>
  <c r="I334" i="3"/>
  <c r="I290" i="3"/>
  <c r="I286" i="3"/>
  <c r="I278" i="3"/>
  <c r="I270" i="3"/>
  <c r="I266" i="3"/>
  <c r="I250" i="3"/>
  <c r="I242" i="3"/>
  <c r="I234" i="3"/>
  <c r="I218" i="3"/>
  <c r="I214" i="3"/>
  <c r="I206" i="3"/>
  <c r="I198" i="3"/>
  <c r="I194" i="3"/>
  <c r="I186" i="3"/>
  <c r="I170" i="3"/>
  <c r="I158" i="3"/>
  <c r="I154" i="3"/>
  <c r="I126" i="3"/>
  <c r="I122" i="3"/>
  <c r="I118" i="3"/>
  <c r="I114" i="3"/>
  <c r="I106" i="3"/>
  <c r="I94" i="3"/>
  <c r="I86" i="3"/>
  <c r="I74" i="3"/>
  <c r="I66" i="3"/>
  <c r="I54" i="3"/>
  <c r="I46" i="3"/>
  <c r="I34" i="3"/>
  <c r="I22" i="3"/>
  <c r="I14" i="3"/>
  <c r="I6" i="3"/>
  <c r="J426" i="3"/>
  <c r="J418" i="3"/>
  <c r="J414" i="3"/>
  <c r="J386" i="3"/>
  <c r="J382" i="3"/>
  <c r="J378" i="3"/>
  <c r="J374" i="3"/>
  <c r="J370" i="3"/>
  <c r="J366" i="3"/>
  <c r="J362" i="3"/>
  <c r="J338" i="3"/>
  <c r="J334" i="3"/>
  <c r="J290" i="3"/>
  <c r="J286" i="3"/>
  <c r="J278" i="3"/>
  <c r="J270" i="3"/>
  <c r="J266" i="3"/>
  <c r="J250" i="3"/>
  <c r="J242" i="3"/>
  <c r="J234" i="3"/>
  <c r="J218" i="3"/>
  <c r="J214" i="3"/>
  <c r="J206" i="3"/>
  <c r="J198" i="3"/>
  <c r="J194" i="3"/>
  <c r="J186" i="3"/>
  <c r="J170" i="3"/>
  <c r="J158" i="3"/>
  <c r="J154" i="3"/>
  <c r="J126" i="3"/>
  <c r="J122" i="3"/>
  <c r="J118" i="3"/>
  <c r="J114" i="3"/>
  <c r="J106" i="3"/>
  <c r="J94" i="3"/>
  <c r="J86" i="3"/>
  <c r="J74" i="3"/>
  <c r="J66" i="3"/>
  <c r="J54" i="3"/>
  <c r="J46" i="3"/>
  <c r="J34" i="3"/>
  <c r="J22" i="3"/>
  <c r="J14" i="3"/>
  <c r="J6" i="3"/>
  <c r="D424" i="3"/>
  <c r="D400" i="3"/>
  <c r="D396" i="3"/>
  <c r="D356" i="3"/>
  <c r="D348" i="3"/>
  <c r="D344" i="3"/>
  <c r="D340" i="3"/>
  <c r="D324" i="3"/>
  <c r="D292" i="3"/>
  <c r="D284" i="3"/>
  <c r="D280" i="3"/>
  <c r="D272" i="3"/>
  <c r="D264" i="3"/>
  <c r="D252" i="3"/>
  <c r="D244" i="3"/>
  <c r="D240" i="3"/>
  <c r="D236" i="3"/>
  <c r="D224" i="3"/>
  <c r="D156" i="3"/>
  <c r="D152" i="3"/>
  <c r="D148" i="3"/>
  <c r="D140" i="3"/>
  <c r="D132" i="3"/>
  <c r="D124" i="3"/>
  <c r="D120" i="3"/>
  <c r="D116" i="3"/>
  <c r="D108" i="3"/>
  <c r="D104" i="3"/>
  <c r="D84" i="3"/>
  <c r="D72" i="3"/>
  <c r="D68" i="3"/>
  <c r="D64" i="3"/>
  <c r="D60" i="3"/>
  <c r="D56" i="3"/>
  <c r="D48" i="3"/>
  <c r="D28" i="3"/>
  <c r="D24" i="3"/>
  <c r="D16" i="3"/>
  <c r="D12" i="3"/>
  <c r="D8" i="3"/>
  <c r="E424" i="3"/>
  <c r="E400" i="3"/>
  <c r="E396" i="3"/>
  <c r="E356" i="3"/>
  <c r="E348" i="3"/>
  <c r="E344" i="3"/>
  <c r="E340" i="3"/>
  <c r="E324" i="3"/>
  <c r="E292" i="3"/>
  <c r="E284" i="3"/>
  <c r="E280" i="3"/>
  <c r="E272" i="3"/>
  <c r="E264" i="3"/>
  <c r="E252" i="3"/>
  <c r="E244" i="3"/>
  <c r="E240" i="3"/>
  <c r="E236" i="3"/>
  <c r="E224" i="3"/>
  <c r="E156" i="3"/>
  <c r="E152" i="3"/>
  <c r="E148" i="3"/>
  <c r="E140" i="3"/>
  <c r="E132" i="3"/>
  <c r="E124" i="3"/>
  <c r="E120" i="3"/>
  <c r="E108" i="3"/>
  <c r="E104" i="3"/>
  <c r="E71" i="3"/>
  <c r="E47" i="3"/>
  <c r="E39" i="3"/>
  <c r="E31" i="3"/>
  <c r="F362" i="3"/>
  <c r="F242" i="3"/>
  <c r="F218" i="3"/>
  <c r="F186" i="3"/>
  <c r="F170" i="3"/>
  <c r="F126" i="3"/>
  <c r="F118" i="3"/>
  <c r="F74" i="3"/>
  <c r="F34" i="3"/>
  <c r="G186" i="3"/>
  <c r="G170" i="3"/>
  <c r="G126" i="3"/>
  <c r="G118" i="3"/>
  <c r="G106" i="3"/>
  <c r="G94" i="3"/>
  <c r="G86" i="3"/>
  <c r="G74" i="3"/>
  <c r="G54" i="3"/>
  <c r="G46" i="3"/>
  <c r="G34" i="3"/>
  <c r="G14" i="3"/>
  <c r="H382" i="3"/>
  <c r="H362" i="3"/>
  <c r="H242" i="3"/>
  <c r="H218" i="3"/>
  <c r="H186" i="3"/>
  <c r="H170" i="3"/>
  <c r="H126" i="3"/>
  <c r="H118" i="3"/>
  <c r="H106" i="3"/>
  <c r="H94" i="3"/>
  <c r="H86" i="3"/>
  <c r="H74" i="3"/>
  <c r="H54" i="3"/>
  <c r="H46" i="3"/>
  <c r="H34" i="3"/>
  <c r="I428" i="3"/>
  <c r="I420" i="3"/>
  <c r="I412" i="3"/>
  <c r="I404" i="3"/>
  <c r="I396" i="3"/>
  <c r="I388" i="3"/>
  <c r="I384" i="3"/>
  <c r="I376" i="3"/>
  <c r="I368" i="3"/>
  <c r="I364" i="3"/>
  <c r="I360" i="3"/>
  <c r="I336" i="3"/>
  <c r="I332" i="3"/>
  <c r="I328" i="3"/>
  <c r="I324" i="3"/>
  <c r="I316" i="3"/>
  <c r="I312" i="3"/>
  <c r="I308" i="3"/>
  <c r="I304" i="3"/>
  <c r="I300" i="3"/>
  <c r="I296" i="3"/>
  <c r="I264" i="3"/>
  <c r="I260" i="3"/>
  <c r="I252" i="3"/>
  <c r="I244" i="3"/>
  <c r="I232" i="3"/>
  <c r="I220" i="3"/>
  <c r="I216" i="3"/>
  <c r="I208" i="3"/>
  <c r="I204" i="3"/>
  <c r="I200" i="3"/>
  <c r="I196" i="3"/>
  <c r="I192" i="3"/>
  <c r="I184" i="3"/>
  <c r="I180" i="3"/>
  <c r="I172" i="3"/>
  <c r="I168" i="3"/>
  <c r="I164" i="3"/>
  <c r="I160" i="3"/>
  <c r="I152" i="3"/>
  <c r="I144" i="3"/>
  <c r="I140" i="3"/>
  <c r="I136" i="3"/>
  <c r="I128" i="3"/>
  <c r="I124" i="3"/>
  <c r="I112" i="3"/>
  <c r="I104" i="3"/>
  <c r="I100" i="3"/>
  <c r="I96" i="3"/>
  <c r="I92" i="3"/>
  <c r="I88" i="3"/>
  <c r="I80" i="3"/>
  <c r="I76" i="3"/>
  <c r="I72" i="3"/>
  <c r="I68" i="3"/>
  <c r="I64" i="3"/>
  <c r="I60" i="3"/>
  <c r="I56" i="3"/>
  <c r="I48" i="3"/>
  <c r="I44" i="3"/>
  <c r="I40" i="3"/>
  <c r="I32" i="3"/>
  <c r="I24" i="3"/>
  <c r="I20" i="3"/>
  <c r="I4" i="3"/>
  <c r="J428" i="3"/>
  <c r="J420" i="3"/>
  <c r="J412" i="3"/>
  <c r="J404" i="3"/>
  <c r="J396" i="3"/>
  <c r="J388" i="3"/>
  <c r="J384" i="3"/>
  <c r="J376" i="3"/>
  <c r="J368" i="3"/>
  <c r="J364" i="3"/>
  <c r="J360" i="3"/>
  <c r="J336" i="3"/>
  <c r="J332" i="3"/>
  <c r="J328" i="3"/>
  <c r="J324" i="3"/>
  <c r="J316" i="3"/>
  <c r="J312" i="3"/>
  <c r="J308" i="3"/>
  <c r="J304" i="3"/>
  <c r="J300" i="3"/>
  <c r="J296" i="3"/>
  <c r="J264" i="3"/>
  <c r="J260" i="3"/>
  <c r="J252" i="3"/>
  <c r="J244" i="3"/>
  <c r="J232" i="3"/>
  <c r="J220" i="3"/>
  <c r="J216" i="3"/>
  <c r="J208" i="3"/>
  <c r="J204" i="3"/>
  <c r="J200" i="3"/>
  <c r="J196" i="3"/>
  <c r="J192" i="3"/>
  <c r="J184" i="3"/>
  <c r="J180" i="3"/>
  <c r="J172" i="3"/>
  <c r="J168" i="3"/>
  <c r="J164" i="3"/>
  <c r="J160" i="3"/>
  <c r="J152" i="3"/>
  <c r="J144" i="3"/>
  <c r="J140" i="3"/>
  <c r="J136" i="3"/>
  <c r="J128" i="3"/>
  <c r="J124" i="3"/>
  <c r="J112" i="3"/>
  <c r="J104" i="3"/>
  <c r="J96" i="3"/>
  <c r="J92" i="3"/>
  <c r="J88" i="3"/>
  <c r="J80" i="3"/>
  <c r="J76" i="3"/>
  <c r="J72" i="3"/>
  <c r="J68" i="3"/>
  <c r="J64" i="3"/>
  <c r="J60" i="3"/>
  <c r="J56" i="3"/>
  <c r="J48" i="3"/>
  <c r="J44" i="3"/>
  <c r="J40" i="3"/>
  <c r="J32" i="3"/>
  <c r="J24" i="3"/>
  <c r="J20" i="3"/>
  <c r="J4" i="3"/>
  <c r="D430" i="3"/>
  <c r="D410" i="3"/>
  <c r="D406" i="3"/>
  <c r="D402" i="3"/>
  <c r="D398" i="3"/>
  <c r="D390" i="3"/>
  <c r="D382" i="3"/>
  <c r="D362" i="3"/>
  <c r="D358" i="3"/>
  <c r="D350" i="3"/>
  <c r="D342" i="3"/>
  <c r="D330" i="3"/>
  <c r="D322" i="3"/>
  <c r="D310" i="3"/>
  <c r="D306" i="3"/>
  <c r="D302" i="3"/>
  <c r="D294" i="3"/>
  <c r="D282" i="3"/>
  <c r="D274" i="3"/>
  <c r="D262" i="3"/>
  <c r="D258" i="3"/>
  <c r="D242" i="3"/>
  <c r="D238" i="3"/>
  <c r="D230" i="3"/>
  <c r="D226" i="3"/>
  <c r="D222" i="3"/>
  <c r="D218" i="3"/>
  <c r="D210" i="3"/>
  <c r="D186" i="3"/>
  <c r="D182" i="3"/>
  <c r="D178" i="3"/>
  <c r="D174" i="3"/>
  <c r="D170" i="3"/>
  <c r="D166" i="3"/>
  <c r="D162" i="3"/>
  <c r="D150" i="3"/>
  <c r="D146" i="3"/>
  <c r="D142" i="3"/>
  <c r="D138" i="3"/>
  <c r="D134" i="3"/>
  <c r="D130" i="3"/>
  <c r="D126" i="3"/>
  <c r="D118" i="3"/>
  <c r="D110" i="3"/>
  <c r="D106" i="3"/>
  <c r="D102" i="3"/>
  <c r="D98" i="3"/>
  <c r="D94" i="3"/>
  <c r="D90" i="3"/>
  <c r="D86" i="3"/>
  <c r="D82" i="3"/>
  <c r="D78" i="3"/>
  <c r="D74" i="3"/>
  <c r="D62" i="3"/>
  <c r="D58" i="3"/>
  <c r="D54" i="3"/>
  <c r="D50" i="3"/>
  <c r="D46" i="3"/>
  <c r="D42" i="3"/>
  <c r="D34" i="3"/>
  <c r="D30" i="3"/>
  <c r="D26" i="3"/>
  <c r="D18" i="3"/>
  <c r="D14" i="3"/>
  <c r="D10" i="3"/>
  <c r="E430" i="3"/>
  <c r="E410" i="3"/>
  <c r="E406" i="3"/>
  <c r="E402" i="3"/>
  <c r="E398" i="3"/>
  <c r="E390" i="3"/>
  <c r="E382" i="3"/>
  <c r="E362" i="3"/>
  <c r="E358" i="3"/>
  <c r="E350" i="3"/>
  <c r="E342" i="3"/>
  <c r="E330" i="3"/>
  <c r="E310" i="3"/>
  <c r="E306" i="3"/>
  <c r="E302" i="3"/>
  <c r="E294" i="3"/>
  <c r="E282" i="3"/>
  <c r="E262" i="3"/>
  <c r="E254" i="3"/>
  <c r="E242" i="3"/>
  <c r="E238" i="3"/>
  <c r="E230" i="3"/>
  <c r="E226" i="3"/>
  <c r="E222" i="3"/>
  <c r="E218" i="3"/>
  <c r="E186" i="3"/>
  <c r="E182" i="3"/>
  <c r="E178" i="3"/>
  <c r="E174" i="3"/>
  <c r="E170" i="3"/>
  <c r="E166" i="3"/>
  <c r="E162" i="3"/>
  <c r="E150" i="3"/>
  <c r="E146" i="3"/>
  <c r="E142" i="3"/>
  <c r="E138" i="3"/>
  <c r="E134" i="3"/>
  <c r="E130" i="3"/>
  <c r="E126" i="3"/>
  <c r="E118" i="3"/>
  <c r="E110" i="3"/>
  <c r="E106" i="3"/>
  <c r="E98" i="3"/>
  <c r="E94" i="3"/>
  <c r="E90" i="3"/>
  <c r="E86" i="3"/>
  <c r="E82" i="3"/>
  <c r="E78" i="3"/>
  <c r="E74" i="3"/>
  <c r="E62" i="3"/>
  <c r="E58" i="3"/>
  <c r="E54" i="3"/>
  <c r="E50" i="3"/>
  <c r="E46" i="3"/>
  <c r="E42" i="3"/>
  <c r="E34" i="3"/>
  <c r="E30" i="3"/>
  <c r="E26" i="3"/>
  <c r="E18" i="3"/>
  <c r="E14" i="3"/>
  <c r="E10" i="3"/>
  <c r="F401" i="3"/>
  <c r="F373" i="3"/>
  <c r="F349" i="3"/>
  <c r="F345" i="3"/>
  <c r="F341" i="3"/>
  <c r="F337" i="3"/>
  <c r="F333" i="3"/>
  <c r="F325" i="3"/>
  <c r="F321" i="3"/>
  <c r="F317" i="3"/>
  <c r="F309" i="3"/>
  <c r="F285" i="3"/>
  <c r="F277" i="3"/>
  <c r="F269" i="3"/>
  <c r="F265" i="3"/>
  <c r="F261" i="3"/>
  <c r="F249" i="3"/>
  <c r="F245" i="3"/>
  <c r="F233" i="3"/>
  <c r="F225" i="3"/>
  <c r="F205" i="3"/>
  <c r="F185" i="3"/>
  <c r="F173" i="3"/>
  <c r="F157" i="3"/>
  <c r="F125" i="3"/>
  <c r="F121" i="3"/>
  <c r="F113" i="3"/>
  <c r="I431" i="3"/>
  <c r="I427" i="3"/>
  <c r="I423" i="3"/>
  <c r="I419" i="3"/>
  <c r="I415" i="3"/>
  <c r="I411" i="3"/>
  <c r="I407" i="3"/>
  <c r="I403" i="3"/>
  <c r="I395" i="3"/>
  <c r="I391" i="3"/>
  <c r="I387" i="3"/>
  <c r="I371" i="3"/>
  <c r="I367" i="3"/>
  <c r="I363" i="3"/>
  <c r="I359" i="3"/>
  <c r="I355" i="3"/>
  <c r="I347" i="3"/>
  <c r="I343" i="3"/>
  <c r="I339" i="3"/>
  <c r="I335" i="3"/>
  <c r="I327" i="3"/>
  <c r="I323" i="3"/>
  <c r="I319" i="3"/>
  <c r="I311" i="3"/>
  <c r="I303" i="3"/>
  <c r="I299" i="3"/>
  <c r="I295" i="3"/>
  <c r="I291" i="3"/>
  <c r="I287" i="3"/>
  <c r="I283" i="3"/>
  <c r="I279" i="3"/>
  <c r="I275" i="3"/>
  <c r="I271" i="3"/>
  <c r="I267" i="3"/>
  <c r="I259" i="3"/>
  <c r="I255" i="3"/>
  <c r="I251" i="3"/>
  <c r="I247" i="3"/>
  <c r="I243" i="3"/>
  <c r="I239" i="3"/>
  <c r="I235" i="3"/>
  <c r="I231" i="3"/>
  <c r="I227" i="3"/>
  <c r="I223" i="3"/>
  <c r="I219" i="3"/>
  <c r="I215" i="3"/>
  <c r="I211" i="3"/>
  <c r="I207" i="3"/>
  <c r="I203" i="3"/>
  <c r="I199" i="3"/>
  <c r="I195" i="3"/>
  <c r="I191" i="3"/>
  <c r="I187" i="3"/>
  <c r="I183" i="3"/>
  <c r="I179" i="3"/>
  <c r="I175" i="3"/>
  <c r="I171" i="3"/>
  <c r="I167" i="3"/>
  <c r="I163" i="3"/>
  <c r="I159" i="3"/>
  <c r="I155" i="3"/>
  <c r="I151" i="3"/>
  <c r="I147" i="3"/>
  <c r="I143" i="3"/>
  <c r="I139" i="3"/>
  <c r="I135" i="3"/>
  <c r="I131" i="3"/>
  <c r="I127" i="3"/>
  <c r="I123" i="3"/>
  <c r="I119" i="3"/>
  <c r="I115" i="3"/>
  <c r="I111" i="3"/>
  <c r="I107" i="3"/>
  <c r="I103" i="3"/>
  <c r="I99" i="3"/>
  <c r="I95" i="3"/>
  <c r="I91" i="3"/>
  <c r="I87" i="3"/>
  <c r="I83" i="3"/>
  <c r="I79" i="3"/>
  <c r="I75" i="3"/>
  <c r="I71" i="3"/>
  <c r="I67" i="3"/>
  <c r="I63" i="3"/>
  <c r="I59" i="3"/>
  <c r="I55" i="3"/>
  <c r="I51" i="3"/>
  <c r="I47" i="3"/>
  <c r="I43" i="3"/>
  <c r="I39" i="3"/>
  <c r="I35" i="3"/>
  <c r="I31" i="3"/>
  <c r="I27" i="3"/>
  <c r="I23" i="3"/>
  <c r="I19" i="3"/>
  <c r="I15" i="3"/>
  <c r="I11" i="3"/>
  <c r="I7" i="3"/>
  <c r="J431" i="3"/>
  <c r="J427" i="3"/>
  <c r="J423" i="3"/>
  <c r="J419" i="3"/>
  <c r="J415" i="3"/>
  <c r="J411" i="3"/>
  <c r="J407" i="3"/>
  <c r="J403" i="3"/>
  <c r="J395" i="3"/>
  <c r="J391" i="3"/>
  <c r="J387" i="3"/>
  <c r="J371" i="3"/>
  <c r="J367" i="3"/>
  <c r="J363" i="3"/>
  <c r="J359" i="3"/>
  <c r="J355" i="3"/>
  <c r="J347" i="3"/>
  <c r="J343" i="3"/>
  <c r="J339" i="3"/>
  <c r="J335" i="3"/>
  <c r="J327" i="3"/>
  <c r="J323" i="3"/>
  <c r="J319" i="3"/>
  <c r="J311" i="3"/>
  <c r="J303" i="3"/>
  <c r="J299" i="3"/>
  <c r="J295" i="3"/>
  <c r="J291" i="3"/>
  <c r="J287" i="3"/>
  <c r="J283" i="3"/>
  <c r="J279" i="3"/>
  <c r="J275" i="3"/>
  <c r="J271" i="3"/>
  <c r="J267" i="3"/>
  <c r="J259" i="3"/>
  <c r="J255" i="3"/>
  <c r="J251" i="3"/>
  <c r="J247" i="3"/>
  <c r="J243" i="3"/>
  <c r="J239" i="3"/>
  <c r="J235" i="3"/>
  <c r="J231" i="3"/>
  <c r="J227" i="3"/>
  <c r="J223" i="3"/>
  <c r="J219" i="3"/>
  <c r="J215" i="3"/>
  <c r="J211" i="3"/>
  <c r="J207" i="3"/>
  <c r="J203" i="3"/>
  <c r="J199" i="3"/>
  <c r="J195" i="3"/>
  <c r="J191" i="3"/>
  <c r="J187" i="3"/>
  <c r="J183" i="3"/>
  <c r="J179" i="3"/>
  <c r="J175" i="3"/>
  <c r="J171" i="3"/>
  <c r="J167" i="3"/>
  <c r="J163" i="3"/>
  <c r="J159" i="3"/>
  <c r="J155" i="3"/>
  <c r="J151" i="3"/>
  <c r="J147" i="3"/>
  <c r="J143" i="3"/>
  <c r="J139" i="3"/>
  <c r="J135" i="3"/>
  <c r="J131" i="3"/>
  <c r="J127" i="3"/>
  <c r="J123" i="3"/>
  <c r="J119" i="3"/>
  <c r="J115" i="3"/>
  <c r="J111" i="3"/>
  <c r="J107" i="3"/>
  <c r="J103" i="3"/>
  <c r="J99" i="3"/>
  <c r="J95" i="3"/>
  <c r="J91" i="3"/>
  <c r="J87" i="3"/>
  <c r="J83" i="3"/>
  <c r="J79" i="3"/>
  <c r="J75" i="3"/>
  <c r="J71" i="3"/>
  <c r="J67" i="3"/>
  <c r="J63" i="3"/>
  <c r="J59" i="3"/>
  <c r="J55" i="3"/>
  <c r="J51" i="3"/>
  <c r="J47" i="3"/>
  <c r="J43" i="3"/>
  <c r="J39" i="3"/>
  <c r="J35" i="3"/>
  <c r="J31" i="3"/>
  <c r="J27" i="3"/>
  <c r="J23" i="3"/>
  <c r="J19" i="3"/>
  <c r="J15" i="3"/>
  <c r="J11" i="3"/>
  <c r="J7" i="3"/>
  <c r="D429" i="3"/>
  <c r="D425" i="3"/>
  <c r="D421" i="3"/>
  <c r="D417" i="3"/>
  <c r="D409" i="3"/>
  <c r="D401" i="3"/>
  <c r="D393" i="3"/>
  <c r="D389" i="3"/>
  <c r="D385" i="3"/>
  <c r="D373" i="3"/>
  <c r="D369" i="3"/>
  <c r="D365" i="3"/>
  <c r="D357" i="3"/>
  <c r="D353" i="3"/>
  <c r="D349" i="3"/>
  <c r="D345" i="3"/>
  <c r="D341" i="3"/>
  <c r="D337" i="3"/>
  <c r="D333" i="3"/>
  <c r="D329" i="3"/>
  <c r="D325" i="3"/>
  <c r="D321" i="3"/>
  <c r="D317" i="3"/>
  <c r="D313" i="3"/>
  <c r="D309" i="3"/>
  <c r="D305" i="3"/>
  <c r="D301" i="3"/>
  <c r="D293" i="3"/>
  <c r="E84" i="3"/>
  <c r="E72" i="3"/>
  <c r="E68" i="3"/>
  <c r="E64" i="3"/>
  <c r="E60" i="3"/>
  <c r="E56" i="3"/>
  <c r="E48" i="3"/>
  <c r="E32" i="3"/>
  <c r="E28" i="3"/>
  <c r="E24" i="3"/>
  <c r="E16" i="3"/>
  <c r="E12" i="3"/>
  <c r="E8" i="3"/>
  <c r="F423" i="3"/>
  <c r="F419" i="3"/>
  <c r="F415" i="3"/>
  <c r="F411" i="3"/>
  <c r="F391" i="3"/>
  <c r="F387" i="3"/>
  <c r="F355" i="3"/>
  <c r="F339" i="3"/>
  <c r="F335" i="3"/>
  <c r="F327" i="3"/>
  <c r="F323" i="3"/>
  <c r="F303" i="3"/>
  <c r="F299" i="3"/>
  <c r="F295" i="3"/>
  <c r="F291" i="3"/>
  <c r="F287" i="3"/>
  <c r="F283" i="3"/>
  <c r="F279" i="3"/>
  <c r="F267" i="3"/>
  <c r="F255" i="3"/>
  <c r="F251" i="3"/>
  <c r="F243" i="3"/>
  <c r="F239" i="3"/>
  <c r="F235" i="3"/>
  <c r="F231" i="3"/>
  <c r="F223" i="3"/>
  <c r="F219" i="3"/>
  <c r="F211" i="3"/>
  <c r="F203" i="3"/>
  <c r="F187" i="3"/>
  <c r="F183" i="3"/>
  <c r="F175" i="3"/>
  <c r="F171" i="3"/>
  <c r="F167" i="3"/>
  <c r="F163" i="3"/>
  <c r="F159" i="3"/>
  <c r="F151" i="3"/>
  <c r="F143" i="3"/>
  <c r="F139" i="3"/>
  <c r="F135" i="3"/>
  <c r="F131" i="3"/>
  <c r="F127" i="3"/>
  <c r="F123" i="3"/>
  <c r="F115" i="3"/>
  <c r="F111" i="3"/>
  <c r="F107" i="3"/>
  <c r="F99" i="3"/>
  <c r="F95" i="3"/>
  <c r="F79" i="3"/>
  <c r="F71" i="3"/>
  <c r="F67" i="3"/>
  <c r="F63" i="3"/>
  <c r="F55" i="3"/>
  <c r="F47" i="3"/>
  <c r="F39" i="3"/>
  <c r="F35" i="3"/>
  <c r="F31" i="3"/>
  <c r="F27" i="3"/>
  <c r="F23" i="3"/>
  <c r="F19" i="3"/>
  <c r="F15" i="3"/>
  <c r="F7" i="3"/>
  <c r="G411" i="3"/>
  <c r="G355" i="3"/>
  <c r="G339" i="3"/>
  <c r="G335" i="3"/>
  <c r="G323" i="3"/>
  <c r="G299" i="3"/>
  <c r="G295" i="3"/>
  <c r="G291" i="3"/>
  <c r="G283" i="3"/>
  <c r="G279" i="3"/>
  <c r="G267" i="3"/>
  <c r="G243" i="3"/>
  <c r="G235" i="3"/>
  <c r="G223" i="3"/>
  <c r="G219" i="3"/>
  <c r="G211" i="3"/>
  <c r="G175" i="3"/>
  <c r="G163" i="3"/>
  <c r="G151" i="3"/>
  <c r="G143" i="3"/>
  <c r="G139" i="3"/>
  <c r="G135" i="3"/>
  <c r="G131" i="3"/>
  <c r="G111" i="3"/>
  <c r="G107" i="3"/>
  <c r="G99" i="3"/>
  <c r="G95" i="3"/>
  <c r="G79" i="3"/>
  <c r="G71" i="3"/>
  <c r="G67" i="3"/>
  <c r="G55" i="3"/>
  <c r="G47" i="3"/>
  <c r="G39" i="3"/>
  <c r="G35" i="3"/>
  <c r="G31" i="3"/>
  <c r="G27" i="3"/>
  <c r="G23" i="3"/>
  <c r="D289" i="3"/>
  <c r="D285" i="3"/>
  <c r="D277" i="3"/>
  <c r="D273" i="3"/>
  <c r="D269" i="3"/>
  <c r="D265" i="3"/>
  <c r="D261" i="3"/>
  <c r="D257" i="3"/>
  <c r="D253" i="3"/>
  <c r="D249" i="3"/>
  <c r="D245" i="3"/>
  <c r="D241" i="3"/>
  <c r="D233" i="3"/>
  <c r="D229" i="3"/>
  <c r="D225" i="3"/>
  <c r="D217" i="3"/>
  <c r="D213" i="3"/>
  <c r="D205" i="3"/>
  <c r="D201" i="3"/>
  <c r="D197" i="3"/>
  <c r="D193" i="3"/>
  <c r="D189" i="3"/>
  <c r="D185" i="3"/>
  <c r="D177" i="3"/>
  <c r="D173" i="3"/>
  <c r="D169" i="3"/>
  <c r="D161" i="3"/>
  <c r="D157" i="3"/>
  <c r="D153" i="3"/>
  <c r="D149" i="3"/>
  <c r="D145" i="3"/>
  <c r="D141" i="3"/>
  <c r="D137" i="3"/>
  <c r="D133" i="3"/>
  <c r="D129" i="3"/>
  <c r="D125" i="3"/>
  <c r="D121" i="3"/>
  <c r="D117" i="3"/>
  <c r="D113" i="3"/>
  <c r="D109" i="3"/>
  <c r="D105" i="3"/>
  <c r="D101" i="3"/>
  <c r="D97" i="3"/>
  <c r="D93" i="3"/>
  <c r="D89" i="3"/>
  <c r="D85" i="3"/>
  <c r="D81" i="3"/>
  <c r="D77" i="3"/>
  <c r="D73" i="3"/>
  <c r="D65" i="3"/>
  <c r="D61" i="3"/>
  <c r="D57" i="3"/>
  <c r="D53" i="3"/>
  <c r="D49" i="3"/>
  <c r="D45" i="3"/>
  <c r="D41" i="3"/>
  <c r="D37" i="3"/>
  <c r="D33" i="3"/>
  <c r="D29" i="3"/>
  <c r="D25" i="3"/>
  <c r="D21" i="3"/>
  <c r="D17" i="3"/>
  <c r="D13" i="3"/>
  <c r="D5" i="3"/>
  <c r="E429" i="3"/>
  <c r="E425" i="3"/>
  <c r="E421" i="3"/>
  <c r="E417" i="3"/>
  <c r="E409" i="3"/>
  <c r="E401" i="3"/>
  <c r="E393" i="3"/>
  <c r="E389" i="3"/>
  <c r="E385" i="3"/>
  <c r="E373" i="3"/>
  <c r="E369" i="3"/>
  <c r="E365" i="3"/>
  <c r="E357" i="3"/>
  <c r="E353" i="3"/>
  <c r="E349" i="3"/>
  <c r="E345" i="3"/>
  <c r="E341" i="3"/>
  <c r="E337" i="3"/>
  <c r="E333" i="3"/>
  <c r="E329" i="3"/>
  <c r="E325" i="3"/>
  <c r="E321" i="3"/>
  <c r="E317" i="3"/>
  <c r="E313" i="3"/>
  <c r="E309" i="3"/>
  <c r="E305" i="3"/>
  <c r="E301" i="3"/>
  <c r="E293" i="3"/>
  <c r="E289" i="3"/>
  <c r="E285" i="3"/>
  <c r="E277" i="3"/>
  <c r="E273" i="3"/>
  <c r="E269" i="3"/>
  <c r="E265" i="3"/>
  <c r="E261" i="3"/>
  <c r="E257" i="3"/>
  <c r="E253" i="3"/>
  <c r="E249" i="3"/>
  <c r="E245" i="3"/>
  <c r="E241" i="3"/>
  <c r="E233" i="3"/>
  <c r="E229" i="3"/>
  <c r="E225" i="3"/>
  <c r="E217" i="3"/>
  <c r="E213" i="3"/>
  <c r="E205" i="3"/>
  <c r="E201" i="3"/>
  <c r="E197" i="3"/>
  <c r="E193" i="3"/>
  <c r="E189" i="3"/>
  <c r="E185" i="3"/>
  <c r="E177" i="3"/>
  <c r="E173" i="3"/>
  <c r="E169" i="3"/>
  <c r="E161" i="3"/>
  <c r="E157" i="3"/>
  <c r="E153" i="3"/>
  <c r="E149" i="3"/>
  <c r="E145" i="3"/>
  <c r="E141" i="3"/>
  <c r="E137" i="3"/>
  <c r="E133" i="3"/>
  <c r="E129" i="3"/>
  <c r="E125" i="3"/>
  <c r="E121" i="3"/>
  <c r="E117" i="3"/>
  <c r="E113" i="3"/>
  <c r="E109" i="3"/>
  <c r="E105" i="3"/>
  <c r="E101" i="3"/>
  <c r="E97" i="3"/>
  <c r="E93" i="3"/>
  <c r="E89" i="3"/>
  <c r="E85" i="3"/>
  <c r="E81" i="3"/>
  <c r="E77" i="3"/>
  <c r="E73" i="3"/>
  <c r="E65" i="3"/>
  <c r="E61" i="3"/>
  <c r="E57" i="3"/>
  <c r="E53" i="3"/>
  <c r="E49" i="3"/>
  <c r="E45" i="3"/>
  <c r="E41" i="3"/>
  <c r="E37" i="3"/>
  <c r="E33" i="3"/>
  <c r="E29" i="3"/>
  <c r="E25" i="3"/>
  <c r="E21" i="3"/>
  <c r="E17" i="3"/>
  <c r="E13" i="3"/>
  <c r="E9" i="3"/>
  <c r="E5" i="3"/>
  <c r="F428" i="3"/>
  <c r="F424" i="3"/>
  <c r="F412" i="3"/>
  <c r="F404" i="3"/>
  <c r="F400" i="3"/>
  <c r="F396" i="3"/>
  <c r="F388" i="3"/>
  <c r="F384" i="3"/>
  <c r="F376" i="3"/>
  <c r="F368" i="3"/>
  <c r="F360" i="3"/>
  <c r="F356" i="3"/>
  <c r="F348" i="3"/>
  <c r="F109" i="3"/>
  <c r="F105" i="3"/>
  <c r="F101" i="3"/>
  <c r="F97" i="3"/>
  <c r="F93" i="3"/>
  <c r="F89" i="3"/>
  <c r="F85" i="3"/>
  <c r="F81" i="3"/>
  <c r="F77" i="3"/>
  <c r="F73" i="3"/>
  <c r="F65" i="3"/>
  <c r="F61" i="3"/>
  <c r="F57" i="3"/>
  <c r="F49" i="3"/>
  <c r="F41" i="3"/>
  <c r="F29" i="3"/>
  <c r="F25" i="3"/>
  <c r="F21" i="3"/>
  <c r="F17" i="3"/>
  <c r="F13" i="3"/>
  <c r="F9" i="3"/>
  <c r="G429" i="3"/>
  <c r="G425" i="3"/>
  <c r="G417" i="3"/>
  <c r="G409" i="3"/>
  <c r="G401" i="3"/>
  <c r="G393" i="3"/>
  <c r="G373" i="3"/>
  <c r="G353" i="3"/>
  <c r="G349" i="3"/>
  <c r="G345" i="3"/>
  <c r="G341" i="3"/>
  <c r="G337" i="3"/>
  <c r="G333" i="3"/>
  <c r="G329" i="3"/>
  <c r="G325" i="3"/>
  <c r="G321" i="3"/>
  <c r="G317" i="3"/>
  <c r="G313" i="3"/>
  <c r="G309" i="3"/>
  <c r="G305" i="3"/>
  <c r="G301" i="3"/>
  <c r="G293" i="3"/>
  <c r="G285" i="3"/>
  <c r="G277" i="3"/>
  <c r="G269" i="3"/>
  <c r="G265" i="3"/>
  <c r="G261" i="3"/>
  <c r="G253" i="3"/>
  <c r="G249" i="3"/>
  <c r="G245" i="3"/>
  <c r="G241" i="3"/>
  <c r="G233" i="3"/>
  <c r="G229" i="3"/>
  <c r="G225" i="3"/>
  <c r="G217" i="3"/>
  <c r="G205" i="3"/>
  <c r="G201" i="3"/>
  <c r="G197" i="3"/>
  <c r="G185" i="3"/>
  <c r="G177" i="3"/>
  <c r="G173" i="3"/>
  <c r="G161" i="3"/>
  <c r="G157" i="3"/>
  <c r="G149" i="3"/>
  <c r="G145" i="3"/>
  <c r="G141" i="3"/>
  <c r="G137" i="3"/>
  <c r="G125" i="3"/>
  <c r="G121" i="3"/>
  <c r="G113" i="3"/>
  <c r="G109" i="3"/>
  <c r="G105" i="3"/>
  <c r="G101" i="3"/>
  <c r="G97" i="3"/>
  <c r="G93" i="3"/>
  <c r="G89" i="3"/>
  <c r="G85" i="3"/>
  <c r="G81" i="3"/>
  <c r="G77" i="3"/>
  <c r="G73" i="3"/>
  <c r="G65" i="3"/>
  <c r="G61" i="3"/>
  <c r="G57" i="3"/>
  <c r="G49" i="3"/>
  <c r="F344" i="3"/>
  <c r="F340" i="3"/>
  <c r="F336" i="3"/>
  <c r="F332" i="3"/>
  <c r="F324" i="3"/>
  <c r="F316" i="3"/>
  <c r="F312" i="3"/>
  <c r="F308" i="3"/>
  <c r="F304" i="3"/>
  <c r="F300" i="3"/>
  <c r="F296" i="3"/>
  <c r="F292" i="3"/>
  <c r="F284" i="3"/>
  <c r="F280" i="3"/>
  <c r="F272" i="3"/>
  <c r="F264" i="3"/>
  <c r="F260" i="3"/>
  <c r="F252" i="3"/>
  <c r="F244" i="3"/>
  <c r="F240" i="3"/>
  <c r="F236" i="3"/>
  <c r="F232" i="3"/>
  <c r="F224" i="3"/>
  <c r="F220" i="3"/>
  <c r="F216" i="3"/>
  <c r="F208" i="3"/>
  <c r="F204" i="3"/>
  <c r="F200" i="3"/>
  <c r="F192" i="3"/>
  <c r="F184" i="3"/>
  <c r="F180" i="3"/>
  <c r="F172" i="3"/>
  <c r="F168" i="3"/>
  <c r="F164" i="3"/>
  <c r="F160" i="3"/>
  <c r="F156" i="3"/>
  <c r="F152" i="3"/>
  <c r="F148" i="3"/>
  <c r="F144" i="3"/>
  <c r="F140" i="3"/>
  <c r="F132" i="3"/>
  <c r="F128" i="3"/>
  <c r="F124" i="3"/>
  <c r="F120" i="3"/>
  <c r="F116" i="3"/>
  <c r="F112" i="3"/>
  <c r="F108" i="3"/>
  <c r="F104" i="3"/>
  <c r="F100" i="3"/>
  <c r="F96" i="3"/>
  <c r="F92" i="3"/>
  <c r="F88" i="3"/>
  <c r="F80" i="3"/>
  <c r="F76" i="3"/>
  <c r="F72" i="3"/>
  <c r="F68" i="3"/>
  <c r="F64" i="3"/>
  <c r="F60" i="3"/>
  <c r="F56" i="3"/>
  <c r="F48" i="3"/>
  <c r="F44" i="3"/>
  <c r="F40" i="3"/>
  <c r="F32" i="3"/>
  <c r="F28" i="3"/>
  <c r="F20" i="3"/>
  <c r="F16" i="3"/>
  <c r="F12" i="3"/>
  <c r="F8" i="3"/>
  <c r="G41" i="3"/>
  <c r="G33" i="3"/>
  <c r="G29" i="3"/>
  <c r="G25" i="3"/>
  <c r="G21" i="3"/>
  <c r="G17" i="3"/>
  <c r="G13" i="3"/>
  <c r="G9" i="3"/>
  <c r="H401" i="3"/>
  <c r="H373" i="3"/>
  <c r="H349" i="3"/>
  <c r="H345" i="3"/>
  <c r="H341" i="3"/>
  <c r="H333" i="3"/>
  <c r="H325" i="3"/>
  <c r="H321" i="3"/>
  <c r="H317" i="3"/>
  <c r="H309" i="3"/>
  <c r="H285" i="3"/>
  <c r="H277" i="3"/>
  <c r="H269" i="3"/>
  <c r="H265" i="3"/>
  <c r="H261" i="3"/>
  <c r="H249" i="3"/>
  <c r="H245" i="3"/>
  <c r="H233" i="3"/>
  <c r="H225" i="3"/>
  <c r="H205" i="3"/>
  <c r="H185" i="3"/>
  <c r="H173" i="3"/>
  <c r="H157" i="3"/>
  <c r="H125" i="3"/>
  <c r="H121" i="3"/>
  <c r="H113" i="3"/>
  <c r="H105" i="3"/>
  <c r="H101" i="3"/>
  <c r="H97" i="3"/>
  <c r="H93" i="3"/>
  <c r="H73" i="3"/>
  <c r="H65" i="3"/>
  <c r="H61" i="3"/>
  <c r="H57" i="3"/>
  <c r="H49" i="3"/>
  <c r="H29" i="3"/>
  <c r="H25" i="3"/>
  <c r="H21" i="3"/>
  <c r="H17" i="3"/>
  <c r="H13" i="3"/>
  <c r="F4" i="3"/>
  <c r="G428" i="3"/>
  <c r="G424" i="3"/>
  <c r="G420" i="3"/>
  <c r="G412" i="3"/>
  <c r="G404" i="3"/>
  <c r="G400" i="3"/>
  <c r="G396" i="3"/>
  <c r="G388" i="3"/>
  <c r="G384" i="3"/>
  <c r="G376" i="3"/>
  <c r="G368" i="3"/>
  <c r="G364" i="3"/>
  <c r="G360" i="3"/>
  <c r="G356" i="3"/>
  <c r="G348" i="3"/>
  <c r="G344" i="3"/>
  <c r="G340" i="3"/>
  <c r="G336" i="3"/>
  <c r="G332" i="3"/>
  <c r="G328" i="3"/>
  <c r="G324" i="3"/>
  <c r="G316" i="3"/>
  <c r="G312" i="3"/>
  <c r="G308" i="3"/>
  <c r="G304" i="3"/>
  <c r="G300" i="3"/>
  <c r="G296" i="3"/>
  <c r="G292" i="3"/>
  <c r="G284" i="3"/>
  <c r="G280" i="3"/>
  <c r="G272" i="3"/>
  <c r="G264" i="3"/>
  <c r="G260" i="3"/>
  <c r="G252" i="3"/>
  <c r="G244" i="3"/>
  <c r="G240" i="3"/>
  <c r="G236" i="3"/>
  <c r="G232" i="3"/>
  <c r="G224" i="3"/>
  <c r="G220" i="3"/>
  <c r="G216" i="3"/>
  <c r="G208" i="3"/>
  <c r="G204" i="3"/>
  <c r="G200" i="3"/>
  <c r="G196" i="3"/>
  <c r="G192" i="3"/>
  <c r="G184" i="3"/>
  <c r="G180" i="3"/>
  <c r="G172" i="3"/>
  <c r="G168" i="3"/>
  <c r="G164" i="3"/>
  <c r="G160" i="3"/>
  <c r="G152" i="3"/>
  <c r="G148" i="3"/>
  <c r="G144" i="3"/>
  <c r="G140" i="3"/>
  <c r="G136" i="3"/>
  <c r="G132" i="3"/>
  <c r="G128" i="3"/>
  <c r="G124" i="3"/>
  <c r="G116" i="3"/>
  <c r="G112" i="3"/>
  <c r="G108" i="3"/>
  <c r="G104" i="3"/>
  <c r="G100" i="3"/>
  <c r="G96" i="3"/>
  <c r="G92" i="3"/>
  <c r="G88" i="3"/>
  <c r="G84" i="3"/>
  <c r="G80" i="3"/>
  <c r="G76" i="3"/>
  <c r="G72" i="3"/>
  <c r="G68" i="3"/>
  <c r="G64" i="3"/>
  <c r="G60" i="3"/>
  <c r="G56" i="3"/>
  <c r="G48" i="3"/>
  <c r="G44" i="3"/>
  <c r="G40" i="3"/>
  <c r="G32" i="3"/>
  <c r="G28" i="3"/>
  <c r="G24" i="3"/>
  <c r="G20" i="3"/>
  <c r="G16" i="3"/>
  <c r="G15" i="3"/>
  <c r="G11" i="3"/>
  <c r="G7" i="3"/>
  <c r="H427" i="3"/>
  <c r="H423" i="3"/>
  <c r="H419" i="3"/>
  <c r="H415" i="3"/>
  <c r="H411" i="3"/>
  <c r="H407" i="3"/>
  <c r="H391" i="3"/>
  <c r="H387" i="3"/>
  <c r="H363" i="3"/>
  <c r="H355" i="3"/>
  <c r="H343" i="3"/>
  <c r="H339" i="3"/>
  <c r="H335" i="3"/>
  <c r="H327" i="3"/>
  <c r="H323" i="3"/>
  <c r="H311" i="3"/>
  <c r="H303" i="3"/>
  <c r="H299" i="3"/>
  <c r="H295" i="3"/>
  <c r="H291" i="3"/>
  <c r="H287" i="3"/>
  <c r="H283" i="3"/>
  <c r="H279" i="3"/>
  <c r="H275" i="3"/>
  <c r="H271" i="3"/>
  <c r="H267" i="3"/>
  <c r="H259" i="3"/>
  <c r="H255" i="3"/>
  <c r="H251" i="3"/>
  <c r="H247" i="3"/>
  <c r="H243" i="3"/>
  <c r="H239" i="3"/>
  <c r="H235" i="3"/>
  <c r="H231" i="3"/>
  <c r="H223" i="3"/>
  <c r="H219" i="3"/>
  <c r="H211" i="3"/>
  <c r="H207" i="3"/>
  <c r="H203" i="3"/>
  <c r="H191" i="3"/>
  <c r="H187" i="3"/>
  <c r="H183" i="3"/>
  <c r="H179" i="3"/>
  <c r="H175" i="3"/>
  <c r="H171" i="3"/>
  <c r="H167" i="3"/>
  <c r="H163" i="3"/>
  <c r="H159" i="3"/>
  <c r="H151" i="3"/>
  <c r="H147" i="3"/>
  <c r="H143" i="3"/>
  <c r="H139" i="3"/>
  <c r="H135" i="3"/>
  <c r="H131" i="3"/>
  <c r="H127" i="3"/>
  <c r="H123" i="3"/>
  <c r="H119" i="3"/>
  <c r="H115" i="3"/>
  <c r="H111" i="3"/>
  <c r="H107" i="3"/>
  <c r="H99" i="3"/>
  <c r="H95" i="3"/>
  <c r="H91" i="3"/>
  <c r="H87" i="3"/>
  <c r="H83" i="3"/>
  <c r="H79" i="3"/>
  <c r="H71" i="3"/>
  <c r="H67" i="3"/>
  <c r="H63" i="3"/>
  <c r="H59" i="3"/>
  <c r="H55" i="3"/>
  <c r="H51" i="3"/>
  <c r="H47" i="3"/>
  <c r="H39" i="3"/>
  <c r="H35" i="3"/>
  <c r="H31" i="3"/>
  <c r="H27" i="3"/>
  <c r="H23" i="3"/>
  <c r="H19" i="3"/>
  <c r="H15" i="3"/>
  <c r="H11" i="3"/>
  <c r="H7" i="3"/>
  <c r="G12" i="3"/>
  <c r="G8" i="3"/>
  <c r="G4" i="3"/>
  <c r="H428" i="3"/>
  <c r="H420" i="3"/>
  <c r="H412" i="3"/>
  <c r="H404" i="3"/>
  <c r="H396" i="3"/>
  <c r="H388" i="3"/>
  <c r="H384" i="3"/>
  <c r="H376" i="3"/>
  <c r="H368" i="3"/>
  <c r="H364" i="3"/>
  <c r="H360" i="3"/>
  <c r="H356" i="3"/>
  <c r="H344" i="3"/>
  <c r="H336" i="3"/>
  <c r="H332" i="3"/>
  <c r="H328" i="3"/>
  <c r="H324" i="3"/>
  <c r="H316" i="3"/>
  <c r="H312" i="3"/>
  <c r="H308" i="3"/>
  <c r="H304" i="3"/>
  <c r="H300" i="3"/>
  <c r="H296" i="3"/>
  <c r="H264" i="3"/>
  <c r="H260" i="3"/>
  <c r="H252" i="3"/>
  <c r="H240" i="3"/>
  <c r="H232" i="3"/>
  <c r="H224" i="3"/>
  <c r="H220" i="3"/>
  <c r="H216" i="3"/>
  <c r="H208" i="3"/>
  <c r="H204" i="3"/>
  <c r="H200" i="3"/>
  <c r="H196" i="3"/>
  <c r="H192" i="3"/>
  <c r="H180" i="3"/>
  <c r="H172" i="3"/>
  <c r="H168" i="3"/>
  <c r="H164" i="3"/>
  <c r="H160" i="3"/>
  <c r="H152" i="3"/>
  <c r="H144" i="3"/>
  <c r="H140" i="3"/>
  <c r="H136" i="3"/>
  <c r="H128" i="3"/>
  <c r="H124" i="3"/>
  <c r="H116" i="3"/>
  <c r="H112" i="3"/>
  <c r="H104" i="3"/>
  <c r="H100" i="3"/>
  <c r="H96" i="3"/>
  <c r="H92" i="3"/>
  <c r="H88" i="3"/>
  <c r="H80" i="3"/>
  <c r="H76" i="3"/>
  <c r="H68" i="3"/>
  <c r="H64" i="3"/>
  <c r="H60" i="3"/>
  <c r="H56" i="3"/>
  <c r="H48" i="3"/>
  <c r="H44" i="3"/>
  <c r="H40" i="3"/>
  <c r="H32" i="3"/>
  <c r="H24" i="3"/>
  <c r="H20" i="3"/>
  <c r="H16" i="3"/>
  <c r="H8" i="3"/>
  <c r="H4" i="3"/>
  <c r="B436" i="3"/>
  <c r="B437" i="3"/>
  <c r="K434" i="3"/>
  <c r="C434" i="3"/>
  <c r="L434" i="3"/>
  <c r="B434" i="3"/>
  <c r="B438" i="3"/>
  <c r="C438" i="3"/>
  <c r="C437" i="3"/>
  <c r="C436" i="3"/>
  <c r="C435" i="3"/>
  <c r="B435" i="3"/>
  <c r="K438" i="3"/>
  <c r="K437" i="3"/>
  <c r="K436" i="3"/>
  <c r="K435" i="3"/>
  <c r="L438" i="3"/>
  <c r="L435" i="3"/>
  <c r="L437" i="3"/>
  <c r="L436" i="3"/>
  <c r="K439" i="3" l="1"/>
  <c r="H435" i="3"/>
  <c r="F436" i="3"/>
  <c r="E436" i="3"/>
  <c r="J434" i="3"/>
  <c r="G434" i="3"/>
  <c r="Q347" i="3" s="1"/>
  <c r="D434" i="3"/>
  <c r="J436" i="3"/>
  <c r="J435" i="3"/>
  <c r="T35" i="3" s="1"/>
  <c r="H438" i="3"/>
  <c r="E434" i="3"/>
  <c r="I438" i="3"/>
  <c r="D438" i="3"/>
  <c r="F435" i="3"/>
  <c r="F438" i="3"/>
  <c r="E437" i="3"/>
  <c r="G435" i="3"/>
  <c r="G436" i="3"/>
  <c r="G437" i="3"/>
  <c r="G438" i="3"/>
  <c r="H436" i="3"/>
  <c r="J437" i="3"/>
  <c r="I434" i="3"/>
  <c r="E438" i="3"/>
  <c r="E435" i="3"/>
  <c r="F437" i="3"/>
  <c r="D435" i="3"/>
  <c r="N148" i="3" s="1"/>
  <c r="D436" i="3"/>
  <c r="D437" i="3"/>
  <c r="H437" i="3"/>
  <c r="J438" i="3"/>
  <c r="H434" i="3"/>
  <c r="I435" i="3"/>
  <c r="I436" i="3"/>
  <c r="I437" i="3"/>
  <c r="F434" i="3"/>
  <c r="C439" i="3"/>
  <c r="U430" i="3"/>
  <c r="M431" i="3"/>
  <c r="L439" i="3"/>
  <c r="V20" i="3" s="1"/>
  <c r="B439" i="3"/>
  <c r="U7" i="3"/>
  <c r="U11" i="3"/>
  <c r="U15" i="3"/>
  <c r="U19" i="3"/>
  <c r="U23" i="3"/>
  <c r="U27" i="3"/>
  <c r="U31" i="3"/>
  <c r="U35" i="3"/>
  <c r="U39" i="3"/>
  <c r="U43" i="3"/>
  <c r="U47" i="3"/>
  <c r="U51" i="3"/>
  <c r="U55" i="3"/>
  <c r="U59" i="3"/>
  <c r="U63" i="3"/>
  <c r="U67" i="3"/>
  <c r="U71" i="3"/>
  <c r="U75" i="3"/>
  <c r="U79" i="3"/>
  <c r="U83" i="3"/>
  <c r="U87" i="3"/>
  <c r="U91" i="3"/>
  <c r="U95" i="3"/>
  <c r="U99" i="3"/>
  <c r="U103" i="3"/>
  <c r="U107" i="3"/>
  <c r="U111" i="3"/>
  <c r="U115" i="3"/>
  <c r="U119" i="3"/>
  <c r="U123" i="3"/>
  <c r="U127" i="3"/>
  <c r="U131" i="3"/>
  <c r="U135" i="3"/>
  <c r="U139" i="3"/>
  <c r="U143" i="3"/>
  <c r="U147" i="3"/>
  <c r="U151" i="3"/>
  <c r="U155" i="3"/>
  <c r="U159" i="3"/>
  <c r="U163" i="3"/>
  <c r="U167" i="3"/>
  <c r="U171" i="3"/>
  <c r="U175" i="3"/>
  <c r="U179" i="3"/>
  <c r="U183" i="3"/>
  <c r="U187" i="3"/>
  <c r="U191" i="3"/>
  <c r="U195" i="3"/>
  <c r="U199" i="3"/>
  <c r="U203" i="3"/>
  <c r="U207" i="3"/>
  <c r="U211" i="3"/>
  <c r="U215" i="3"/>
  <c r="U219" i="3"/>
  <c r="U223" i="3"/>
  <c r="U227" i="3"/>
  <c r="U231" i="3"/>
  <c r="U235" i="3"/>
  <c r="U239" i="3"/>
  <c r="U243" i="3"/>
  <c r="U247" i="3"/>
  <c r="U251" i="3"/>
  <c r="U255" i="3"/>
  <c r="U259" i="3"/>
  <c r="U263" i="3"/>
  <c r="U267" i="3"/>
  <c r="U271" i="3"/>
  <c r="U275" i="3"/>
  <c r="U279" i="3"/>
  <c r="U283" i="3"/>
  <c r="U287" i="3"/>
  <c r="U291" i="3"/>
  <c r="U295" i="3"/>
  <c r="U299" i="3"/>
  <c r="U303" i="3"/>
  <c r="U307" i="3"/>
  <c r="U311" i="3"/>
  <c r="U315" i="3"/>
  <c r="U319" i="3"/>
  <c r="U323" i="3"/>
  <c r="U327" i="3"/>
  <c r="U331" i="3"/>
  <c r="U335" i="3"/>
  <c r="U339" i="3"/>
  <c r="U343" i="3"/>
  <c r="U347" i="3"/>
  <c r="U351" i="3"/>
  <c r="U355" i="3"/>
  <c r="U359" i="3"/>
  <c r="U363" i="3"/>
  <c r="U367" i="3"/>
  <c r="U371" i="3"/>
  <c r="U375" i="3"/>
  <c r="U379" i="3"/>
  <c r="U383" i="3"/>
  <c r="U387" i="3"/>
  <c r="U391" i="3"/>
  <c r="U395" i="3"/>
  <c r="U399" i="3"/>
  <c r="U403" i="3"/>
  <c r="U407" i="3"/>
  <c r="U411" i="3"/>
  <c r="U415" i="3"/>
  <c r="U419" i="3"/>
  <c r="U423" i="3"/>
  <c r="U427" i="3"/>
  <c r="U431" i="3"/>
  <c r="T7" i="3"/>
  <c r="T115" i="3"/>
  <c r="T119" i="3"/>
  <c r="T243" i="3"/>
  <c r="T247" i="3"/>
  <c r="T343" i="3"/>
  <c r="T359" i="3"/>
  <c r="M7" i="3"/>
  <c r="M11" i="3"/>
  <c r="M15" i="3"/>
  <c r="M19" i="3"/>
  <c r="M23" i="3"/>
  <c r="M27" i="3"/>
  <c r="M31" i="3"/>
  <c r="M35" i="3"/>
  <c r="M39" i="3"/>
  <c r="M43" i="3"/>
  <c r="M47" i="3"/>
  <c r="M51" i="3"/>
  <c r="M55" i="3"/>
  <c r="M59" i="3"/>
  <c r="M63" i="3"/>
  <c r="M67" i="3"/>
  <c r="M71" i="3"/>
  <c r="M75" i="3"/>
  <c r="M79" i="3"/>
  <c r="M83" i="3"/>
  <c r="M87" i="3"/>
  <c r="M91" i="3"/>
  <c r="M95" i="3"/>
  <c r="M99" i="3"/>
  <c r="M103" i="3"/>
  <c r="M107" i="3"/>
  <c r="M111" i="3"/>
  <c r="M115" i="3"/>
  <c r="M119" i="3"/>
  <c r="M123" i="3"/>
  <c r="M127" i="3"/>
  <c r="M131" i="3"/>
  <c r="M135" i="3"/>
  <c r="M139" i="3"/>
  <c r="M143" i="3"/>
  <c r="M147" i="3"/>
  <c r="M151" i="3"/>
  <c r="M155" i="3"/>
  <c r="M159" i="3"/>
  <c r="M163" i="3"/>
  <c r="M167" i="3"/>
  <c r="M171" i="3"/>
  <c r="M175" i="3"/>
  <c r="M179" i="3"/>
  <c r="M183" i="3"/>
  <c r="M187" i="3"/>
  <c r="M191" i="3"/>
  <c r="M195" i="3"/>
  <c r="M199" i="3"/>
  <c r="M203" i="3"/>
  <c r="M207" i="3"/>
  <c r="M211" i="3"/>
  <c r="M215" i="3"/>
  <c r="M219" i="3"/>
  <c r="M223" i="3"/>
  <c r="M227" i="3"/>
  <c r="M231" i="3"/>
  <c r="M235" i="3"/>
  <c r="M239" i="3"/>
  <c r="M243" i="3"/>
  <c r="M247" i="3"/>
  <c r="M251" i="3"/>
  <c r="M255" i="3"/>
  <c r="M259" i="3"/>
  <c r="M263" i="3"/>
  <c r="M267" i="3"/>
  <c r="M271" i="3"/>
  <c r="M275" i="3"/>
  <c r="M279" i="3"/>
  <c r="M285" i="3"/>
  <c r="M289" i="3"/>
  <c r="M293" i="3"/>
  <c r="M297" i="3"/>
  <c r="M301" i="3"/>
  <c r="M305" i="3"/>
  <c r="M309" i="3"/>
  <c r="M317" i="3"/>
  <c r="M325" i="3"/>
  <c r="M337" i="3"/>
  <c r="M347" i="3"/>
  <c r="U4" i="3"/>
  <c r="U8" i="3"/>
  <c r="U12" i="3"/>
  <c r="U16" i="3"/>
  <c r="U20" i="3"/>
  <c r="U24" i="3"/>
  <c r="U28" i="3"/>
  <c r="U32" i="3"/>
  <c r="U36" i="3"/>
  <c r="U40" i="3"/>
  <c r="U44" i="3"/>
  <c r="U48" i="3"/>
  <c r="U52" i="3"/>
  <c r="U56" i="3"/>
  <c r="U60" i="3"/>
  <c r="U64" i="3"/>
  <c r="U68" i="3"/>
  <c r="U72" i="3"/>
  <c r="U76" i="3"/>
  <c r="U80" i="3"/>
  <c r="U84" i="3"/>
  <c r="U88" i="3"/>
  <c r="U92" i="3"/>
  <c r="U96" i="3"/>
  <c r="U100" i="3"/>
  <c r="U104" i="3"/>
  <c r="U108" i="3"/>
  <c r="U112" i="3"/>
  <c r="U116" i="3"/>
  <c r="U120" i="3"/>
  <c r="U124" i="3"/>
  <c r="U128" i="3"/>
  <c r="U132" i="3"/>
  <c r="U136" i="3"/>
  <c r="U140" i="3"/>
  <c r="U144" i="3"/>
  <c r="U148" i="3"/>
  <c r="U152" i="3"/>
  <c r="U156" i="3"/>
  <c r="U160" i="3"/>
  <c r="U164" i="3"/>
  <c r="U168" i="3"/>
  <c r="U172" i="3"/>
  <c r="U176" i="3"/>
  <c r="U180" i="3"/>
  <c r="U184" i="3"/>
  <c r="U188" i="3"/>
  <c r="U192" i="3"/>
  <c r="U196" i="3"/>
  <c r="U200" i="3"/>
  <c r="U204" i="3"/>
  <c r="U208" i="3"/>
  <c r="U212" i="3"/>
  <c r="U216" i="3"/>
  <c r="U220" i="3"/>
  <c r="U224" i="3"/>
  <c r="U228" i="3"/>
  <c r="U232" i="3"/>
  <c r="U236" i="3"/>
  <c r="U240" i="3"/>
  <c r="U244" i="3"/>
  <c r="U248" i="3"/>
  <c r="U252" i="3"/>
  <c r="U256" i="3"/>
  <c r="U260" i="3"/>
  <c r="U264" i="3"/>
  <c r="U268" i="3"/>
  <c r="U272" i="3"/>
  <c r="U276" i="3"/>
  <c r="U280" i="3"/>
  <c r="U284" i="3"/>
  <c r="U288" i="3"/>
  <c r="U292" i="3"/>
  <c r="U296" i="3"/>
  <c r="U300" i="3"/>
  <c r="U304" i="3"/>
  <c r="U308" i="3"/>
  <c r="U312" i="3"/>
  <c r="U316" i="3"/>
  <c r="U320" i="3"/>
  <c r="U324" i="3"/>
  <c r="U328" i="3"/>
  <c r="U332" i="3"/>
  <c r="U336" i="3"/>
  <c r="U340" i="3"/>
  <c r="U344" i="3"/>
  <c r="U348" i="3"/>
  <c r="U352" i="3"/>
  <c r="U356" i="3"/>
  <c r="U360" i="3"/>
  <c r="U364" i="3"/>
  <c r="U368" i="3"/>
  <c r="U372" i="3"/>
  <c r="U376" i="3"/>
  <c r="U380" i="3"/>
  <c r="U384" i="3"/>
  <c r="U388" i="3"/>
  <c r="U392" i="3"/>
  <c r="U396" i="3"/>
  <c r="U400" i="3"/>
  <c r="U404" i="3"/>
  <c r="U408" i="3"/>
  <c r="U412" i="3"/>
  <c r="U416" i="3"/>
  <c r="U420" i="3"/>
  <c r="U424" i="3"/>
  <c r="U428" i="3"/>
  <c r="T56" i="3"/>
  <c r="T108" i="3"/>
  <c r="T172" i="3"/>
  <c r="T216" i="3"/>
  <c r="T300" i="3"/>
  <c r="T344" i="3"/>
  <c r="T428" i="3"/>
  <c r="M6" i="3"/>
  <c r="M10" i="3"/>
  <c r="M14" i="3"/>
  <c r="M18" i="3"/>
  <c r="M22" i="3"/>
  <c r="M26" i="3"/>
  <c r="M30" i="3"/>
  <c r="M34" i="3"/>
  <c r="M38" i="3"/>
  <c r="M42" i="3"/>
  <c r="M46" i="3"/>
  <c r="M50" i="3"/>
  <c r="M54" i="3"/>
  <c r="M58" i="3"/>
  <c r="M62" i="3"/>
  <c r="M66" i="3"/>
  <c r="M70" i="3"/>
  <c r="M74" i="3"/>
  <c r="M78" i="3"/>
  <c r="M82" i="3"/>
  <c r="M86" i="3"/>
  <c r="M90" i="3"/>
  <c r="M94" i="3"/>
  <c r="M98" i="3"/>
  <c r="M102" i="3"/>
  <c r="M106" i="3"/>
  <c r="M110" i="3"/>
  <c r="M114" i="3"/>
  <c r="M118" i="3"/>
  <c r="M122" i="3"/>
  <c r="M126" i="3"/>
  <c r="M130" i="3"/>
  <c r="M134" i="3"/>
  <c r="M138" i="3"/>
  <c r="M142" i="3"/>
  <c r="M146" i="3"/>
  <c r="M150" i="3"/>
  <c r="M154" i="3"/>
  <c r="M158" i="3"/>
  <c r="M162" i="3"/>
  <c r="M166" i="3"/>
  <c r="M170" i="3"/>
  <c r="M174" i="3"/>
  <c r="M178" i="3"/>
  <c r="M182" i="3"/>
  <c r="M186" i="3"/>
  <c r="M190" i="3"/>
  <c r="M194" i="3"/>
  <c r="M198" i="3"/>
  <c r="M202" i="3"/>
  <c r="M206" i="3"/>
  <c r="M210" i="3"/>
  <c r="M214" i="3"/>
  <c r="M218" i="3"/>
  <c r="M222" i="3"/>
  <c r="M226" i="3"/>
  <c r="M230" i="3"/>
  <c r="M234" i="3"/>
  <c r="M238" i="3"/>
  <c r="M242" i="3"/>
  <c r="M246" i="3"/>
  <c r="M250" i="3"/>
  <c r="M254" i="3"/>
  <c r="M258" i="3"/>
  <c r="M262" i="3"/>
  <c r="M266" i="3"/>
  <c r="M270" i="3"/>
  <c r="M274" i="3"/>
  <c r="M278" i="3"/>
  <c r="M282" i="3"/>
  <c r="M286" i="3"/>
  <c r="M290" i="3"/>
  <c r="M294" i="3"/>
  <c r="M4" i="3"/>
  <c r="M281" i="3"/>
  <c r="M315" i="3"/>
  <c r="M323" i="3"/>
  <c r="M329" i="3"/>
  <c r="M335" i="3"/>
  <c r="M343" i="3"/>
  <c r="M349" i="3"/>
  <c r="M298" i="3"/>
  <c r="M302" i="3"/>
  <c r="M306" i="3"/>
  <c r="M310" i="3"/>
  <c r="M314" i="3"/>
  <c r="M318" i="3"/>
  <c r="M322" i="3"/>
  <c r="M326" i="3"/>
  <c r="M330" i="3"/>
  <c r="M334" i="3"/>
  <c r="M338" i="3"/>
  <c r="M342" i="3"/>
  <c r="M346" i="3"/>
  <c r="M350" i="3"/>
  <c r="M354" i="3"/>
  <c r="M358" i="3"/>
  <c r="M362" i="3"/>
  <c r="M366" i="3"/>
  <c r="M370" i="3"/>
  <c r="M374" i="3"/>
  <c r="M378" i="3"/>
  <c r="M382" i="3"/>
  <c r="M386" i="3"/>
  <c r="M390" i="3"/>
  <c r="M394" i="3"/>
  <c r="M398" i="3"/>
  <c r="M402" i="3"/>
  <c r="M406" i="3"/>
  <c r="M410" i="3"/>
  <c r="M414" i="3"/>
  <c r="M418" i="3"/>
  <c r="M422" i="3"/>
  <c r="M426" i="3"/>
  <c r="M430" i="3"/>
  <c r="V28" i="3"/>
  <c r="V36" i="3"/>
  <c r="V44" i="3"/>
  <c r="V160" i="3"/>
  <c r="V200" i="3"/>
  <c r="V244" i="3"/>
  <c r="V284" i="3"/>
  <c r="V308" i="3"/>
  <c r="V340" i="3"/>
  <c r="V364" i="3"/>
  <c r="V388" i="3"/>
  <c r="V412" i="3"/>
  <c r="M357" i="3"/>
  <c r="M361" i="3"/>
  <c r="M365" i="3"/>
  <c r="M369" i="3"/>
  <c r="M373" i="3"/>
  <c r="M377" i="3"/>
  <c r="M381" i="3"/>
  <c r="M385" i="3"/>
  <c r="M389" i="3"/>
  <c r="M393" i="3"/>
  <c r="M397" i="3"/>
  <c r="M401" i="3"/>
  <c r="M405" i="3"/>
  <c r="M409" i="3"/>
  <c r="M413" i="3"/>
  <c r="M417" i="3"/>
  <c r="M421" i="3"/>
  <c r="M425" i="3"/>
  <c r="M429" i="3"/>
  <c r="V29" i="3"/>
  <c r="V33" i="3"/>
  <c r="V37" i="3"/>
  <c r="V109" i="3"/>
  <c r="V233" i="3"/>
  <c r="V237" i="3"/>
  <c r="V321" i="3"/>
  <c r="V333" i="3"/>
  <c r="V357" i="3"/>
  <c r="V393" i="3"/>
  <c r="V409" i="3"/>
  <c r="V421" i="3"/>
  <c r="V425" i="3"/>
  <c r="U5" i="3"/>
  <c r="U9" i="3"/>
  <c r="U13" i="3"/>
  <c r="U17" i="3"/>
  <c r="U21" i="3"/>
  <c r="U25" i="3"/>
  <c r="U29" i="3"/>
  <c r="U33" i="3"/>
  <c r="U37" i="3"/>
  <c r="U41" i="3"/>
  <c r="U45" i="3"/>
  <c r="U49" i="3"/>
  <c r="U53" i="3"/>
  <c r="U57" i="3"/>
  <c r="U61" i="3"/>
  <c r="U65" i="3"/>
  <c r="U69" i="3"/>
  <c r="U73" i="3"/>
  <c r="U77" i="3"/>
  <c r="U81" i="3"/>
  <c r="U85" i="3"/>
  <c r="U89" i="3"/>
  <c r="U93" i="3"/>
  <c r="U97" i="3"/>
  <c r="U101" i="3"/>
  <c r="U105" i="3"/>
  <c r="U109" i="3"/>
  <c r="U113" i="3"/>
  <c r="U117" i="3"/>
  <c r="U121" i="3"/>
  <c r="U125" i="3"/>
  <c r="U129" i="3"/>
  <c r="U133" i="3"/>
  <c r="U137" i="3"/>
  <c r="U141" i="3"/>
  <c r="U145" i="3"/>
  <c r="U149" i="3"/>
  <c r="U153" i="3"/>
  <c r="U157" i="3"/>
  <c r="U161" i="3"/>
  <c r="U165" i="3"/>
  <c r="U169" i="3"/>
  <c r="U173" i="3"/>
  <c r="U177" i="3"/>
  <c r="U181" i="3"/>
  <c r="U185" i="3"/>
  <c r="U189" i="3"/>
  <c r="U193" i="3"/>
  <c r="U197" i="3"/>
  <c r="U201" i="3"/>
  <c r="U205" i="3"/>
  <c r="U209" i="3"/>
  <c r="U213" i="3"/>
  <c r="U217" i="3"/>
  <c r="U221" i="3"/>
  <c r="U225" i="3"/>
  <c r="U229" i="3"/>
  <c r="U233" i="3"/>
  <c r="U237" i="3"/>
  <c r="U241" i="3"/>
  <c r="U245" i="3"/>
  <c r="U249" i="3"/>
  <c r="U253" i="3"/>
  <c r="U257" i="3"/>
  <c r="U261" i="3"/>
  <c r="U265" i="3"/>
  <c r="U269" i="3"/>
  <c r="U273" i="3"/>
  <c r="U277" i="3"/>
  <c r="U281" i="3"/>
  <c r="U285" i="3"/>
  <c r="U289" i="3"/>
  <c r="U293" i="3"/>
  <c r="U297" i="3"/>
  <c r="U301" i="3"/>
  <c r="U305" i="3"/>
  <c r="U309" i="3"/>
  <c r="U313" i="3"/>
  <c r="U317" i="3"/>
  <c r="U321" i="3"/>
  <c r="U325" i="3"/>
  <c r="U329" i="3"/>
  <c r="U333" i="3"/>
  <c r="U337" i="3"/>
  <c r="U341" i="3"/>
  <c r="U345" i="3"/>
  <c r="U349" i="3"/>
  <c r="U353" i="3"/>
  <c r="U357" i="3"/>
  <c r="U361" i="3"/>
  <c r="U365" i="3"/>
  <c r="U369" i="3"/>
  <c r="U373" i="3"/>
  <c r="U377" i="3"/>
  <c r="U381" i="3"/>
  <c r="U385" i="3"/>
  <c r="U389" i="3"/>
  <c r="U393" i="3"/>
  <c r="U397" i="3"/>
  <c r="U401" i="3"/>
  <c r="U405" i="3"/>
  <c r="U409" i="3"/>
  <c r="U413" i="3"/>
  <c r="U417" i="3"/>
  <c r="U421" i="3"/>
  <c r="U425" i="3"/>
  <c r="U429" i="3"/>
  <c r="T5" i="3"/>
  <c r="T41" i="3"/>
  <c r="T117" i="3"/>
  <c r="T149" i="3"/>
  <c r="T233" i="3"/>
  <c r="T277" i="3"/>
  <c r="T361" i="3"/>
  <c r="T393" i="3"/>
  <c r="Q235" i="3"/>
  <c r="M5" i="3"/>
  <c r="M9" i="3"/>
  <c r="M13" i="3"/>
  <c r="M17" i="3"/>
  <c r="M21" i="3"/>
  <c r="M25" i="3"/>
  <c r="M29" i="3"/>
  <c r="M33" i="3"/>
  <c r="M37" i="3"/>
  <c r="M41" i="3"/>
  <c r="M45" i="3"/>
  <c r="M49" i="3"/>
  <c r="M53" i="3"/>
  <c r="M57" i="3"/>
  <c r="M61" i="3"/>
  <c r="M65" i="3"/>
  <c r="M69" i="3"/>
  <c r="M73" i="3"/>
  <c r="M77" i="3"/>
  <c r="M81" i="3"/>
  <c r="M85" i="3"/>
  <c r="M89" i="3"/>
  <c r="M93" i="3"/>
  <c r="M97" i="3"/>
  <c r="M101" i="3"/>
  <c r="M105" i="3"/>
  <c r="M109" i="3"/>
  <c r="M113" i="3"/>
  <c r="M117" i="3"/>
  <c r="M121" i="3"/>
  <c r="M125" i="3"/>
  <c r="M129" i="3"/>
  <c r="M133" i="3"/>
  <c r="M137" i="3"/>
  <c r="M141" i="3"/>
  <c r="M145" i="3"/>
  <c r="M149" i="3"/>
  <c r="M153" i="3"/>
  <c r="M157" i="3"/>
  <c r="M161" i="3"/>
  <c r="M165" i="3"/>
  <c r="M169" i="3"/>
  <c r="M173" i="3"/>
  <c r="M177" i="3"/>
  <c r="M181" i="3"/>
  <c r="M185" i="3"/>
  <c r="M189" i="3"/>
  <c r="M193" i="3"/>
  <c r="M197" i="3"/>
  <c r="M201" i="3"/>
  <c r="M205" i="3"/>
  <c r="M209" i="3"/>
  <c r="M213" i="3"/>
  <c r="M217" i="3"/>
  <c r="M221" i="3"/>
  <c r="M225" i="3"/>
  <c r="M229" i="3"/>
  <c r="M233" i="3"/>
  <c r="M237" i="3"/>
  <c r="M241" i="3"/>
  <c r="M245" i="3"/>
  <c r="M249" i="3"/>
  <c r="M253" i="3"/>
  <c r="M257" i="3"/>
  <c r="M261" i="3"/>
  <c r="M265" i="3"/>
  <c r="M269" i="3"/>
  <c r="M273" i="3"/>
  <c r="M277" i="3"/>
  <c r="M283" i="3"/>
  <c r="M287" i="3"/>
  <c r="M291" i="3"/>
  <c r="M295" i="3"/>
  <c r="M299" i="3"/>
  <c r="M303" i="3"/>
  <c r="M307" i="3"/>
  <c r="M313" i="3"/>
  <c r="M321" i="3"/>
  <c r="M331" i="3"/>
  <c r="M341" i="3"/>
  <c r="M353" i="3"/>
  <c r="U6" i="3"/>
  <c r="U10" i="3"/>
  <c r="U14" i="3"/>
  <c r="U18" i="3"/>
  <c r="U22" i="3"/>
  <c r="U26" i="3"/>
  <c r="U30" i="3"/>
  <c r="U34" i="3"/>
  <c r="U38" i="3"/>
  <c r="U42" i="3"/>
  <c r="U46" i="3"/>
  <c r="U50" i="3"/>
  <c r="U54" i="3"/>
  <c r="U58" i="3"/>
  <c r="U62" i="3"/>
  <c r="U66" i="3"/>
  <c r="U70" i="3"/>
  <c r="U74" i="3"/>
  <c r="U78" i="3"/>
  <c r="U82" i="3"/>
  <c r="U86" i="3"/>
  <c r="U90" i="3"/>
  <c r="U94" i="3"/>
  <c r="U98" i="3"/>
  <c r="U102" i="3"/>
  <c r="U106" i="3"/>
  <c r="U110" i="3"/>
  <c r="U114" i="3"/>
  <c r="U118" i="3"/>
  <c r="U122" i="3"/>
  <c r="U126" i="3"/>
  <c r="U130" i="3"/>
  <c r="U134" i="3"/>
  <c r="U138" i="3"/>
  <c r="U142" i="3"/>
  <c r="U146" i="3"/>
  <c r="U150" i="3"/>
  <c r="U154" i="3"/>
  <c r="U158" i="3"/>
  <c r="U162" i="3"/>
  <c r="U166" i="3"/>
  <c r="U170" i="3"/>
  <c r="U174" i="3"/>
  <c r="U178" i="3"/>
  <c r="U182" i="3"/>
  <c r="U186" i="3"/>
  <c r="U190" i="3"/>
  <c r="U194" i="3"/>
  <c r="U198" i="3"/>
  <c r="U202" i="3"/>
  <c r="U206" i="3"/>
  <c r="U210" i="3"/>
  <c r="U214" i="3"/>
  <c r="U218" i="3"/>
  <c r="U222" i="3"/>
  <c r="U226" i="3"/>
  <c r="U230" i="3"/>
  <c r="U234" i="3"/>
  <c r="U238" i="3"/>
  <c r="U242" i="3"/>
  <c r="U246" i="3"/>
  <c r="U250" i="3"/>
  <c r="U254" i="3"/>
  <c r="U258" i="3"/>
  <c r="U262" i="3"/>
  <c r="U266" i="3"/>
  <c r="U270" i="3"/>
  <c r="U274" i="3"/>
  <c r="U278" i="3"/>
  <c r="U282" i="3"/>
  <c r="U286" i="3"/>
  <c r="U290" i="3"/>
  <c r="U294" i="3"/>
  <c r="U298" i="3"/>
  <c r="U302" i="3"/>
  <c r="U306" i="3"/>
  <c r="U310" i="3"/>
  <c r="U314" i="3"/>
  <c r="U318" i="3"/>
  <c r="U322" i="3"/>
  <c r="U326" i="3"/>
  <c r="U330" i="3"/>
  <c r="U334" i="3"/>
  <c r="U338" i="3"/>
  <c r="U342" i="3"/>
  <c r="U346" i="3"/>
  <c r="U350" i="3"/>
  <c r="U354" i="3"/>
  <c r="U358" i="3"/>
  <c r="U362" i="3"/>
  <c r="U366" i="3"/>
  <c r="U370" i="3"/>
  <c r="U374" i="3"/>
  <c r="U378" i="3"/>
  <c r="U382" i="3"/>
  <c r="U386" i="3"/>
  <c r="U390" i="3"/>
  <c r="U394" i="3"/>
  <c r="U398" i="3"/>
  <c r="U402" i="3"/>
  <c r="U406" i="3"/>
  <c r="U410" i="3"/>
  <c r="U414" i="3"/>
  <c r="U418" i="3"/>
  <c r="U422" i="3"/>
  <c r="U426" i="3"/>
  <c r="T14" i="3"/>
  <c r="T62" i="3"/>
  <c r="T110" i="3"/>
  <c r="T126" i="3"/>
  <c r="T154" i="3"/>
  <c r="T170" i="3"/>
  <c r="T202" i="3"/>
  <c r="T218" i="3"/>
  <c r="T242" i="3"/>
  <c r="T254" i="3"/>
  <c r="T274" i="3"/>
  <c r="T286" i="3"/>
  <c r="T306" i="3"/>
  <c r="T318" i="3"/>
  <c r="T338" i="3"/>
  <c r="T350" i="3"/>
  <c r="T370" i="3"/>
  <c r="T382" i="3"/>
  <c r="T402" i="3"/>
  <c r="T414" i="3"/>
  <c r="Q205" i="3"/>
  <c r="M8" i="3"/>
  <c r="M12" i="3"/>
  <c r="M16" i="3"/>
  <c r="M20" i="3"/>
  <c r="M24" i="3"/>
  <c r="M28" i="3"/>
  <c r="M32" i="3"/>
  <c r="M36" i="3"/>
  <c r="M40" i="3"/>
  <c r="M44" i="3"/>
  <c r="M48" i="3"/>
  <c r="M52" i="3"/>
  <c r="M56" i="3"/>
  <c r="M60" i="3"/>
  <c r="M64" i="3"/>
  <c r="M68" i="3"/>
  <c r="M72" i="3"/>
  <c r="M76" i="3"/>
  <c r="M80" i="3"/>
  <c r="M84" i="3"/>
  <c r="M88" i="3"/>
  <c r="M92" i="3"/>
  <c r="M96" i="3"/>
  <c r="M100" i="3"/>
  <c r="M104" i="3"/>
  <c r="M108" i="3"/>
  <c r="M112" i="3"/>
  <c r="M116" i="3"/>
  <c r="M120" i="3"/>
  <c r="M124" i="3"/>
  <c r="M128" i="3"/>
  <c r="M132" i="3"/>
  <c r="M136" i="3"/>
  <c r="M140" i="3"/>
  <c r="M144" i="3"/>
  <c r="M148" i="3"/>
  <c r="M152" i="3"/>
  <c r="M156" i="3"/>
  <c r="M160" i="3"/>
  <c r="M164" i="3"/>
  <c r="M168" i="3"/>
  <c r="M172" i="3"/>
  <c r="M176" i="3"/>
  <c r="M180" i="3"/>
  <c r="M184" i="3"/>
  <c r="M188" i="3"/>
  <c r="M192" i="3"/>
  <c r="M196" i="3"/>
  <c r="M200" i="3"/>
  <c r="M204" i="3"/>
  <c r="M208" i="3"/>
  <c r="M212" i="3"/>
  <c r="M216" i="3"/>
  <c r="M220" i="3"/>
  <c r="M224" i="3"/>
  <c r="M228" i="3"/>
  <c r="M232" i="3"/>
  <c r="M236" i="3"/>
  <c r="M240" i="3"/>
  <c r="M244" i="3"/>
  <c r="M248" i="3"/>
  <c r="M252" i="3"/>
  <c r="M256" i="3"/>
  <c r="M260" i="3"/>
  <c r="M264" i="3"/>
  <c r="M268" i="3"/>
  <c r="M272" i="3"/>
  <c r="M276" i="3"/>
  <c r="M280" i="3"/>
  <c r="M284" i="3"/>
  <c r="M288" i="3"/>
  <c r="M292" i="3"/>
  <c r="M296" i="3"/>
  <c r="M311" i="3"/>
  <c r="M319" i="3"/>
  <c r="M327" i="3"/>
  <c r="M333" i="3"/>
  <c r="M339" i="3"/>
  <c r="M345" i="3"/>
  <c r="M351" i="3"/>
  <c r="M300" i="3"/>
  <c r="M304" i="3"/>
  <c r="M308" i="3"/>
  <c r="M312" i="3"/>
  <c r="M316" i="3"/>
  <c r="M320" i="3"/>
  <c r="M324" i="3"/>
  <c r="M328" i="3"/>
  <c r="M332" i="3"/>
  <c r="M336" i="3"/>
  <c r="M340" i="3"/>
  <c r="M344" i="3"/>
  <c r="M348" i="3"/>
  <c r="M352" i="3"/>
  <c r="M356" i="3"/>
  <c r="M360" i="3"/>
  <c r="M364" i="3"/>
  <c r="M368" i="3"/>
  <c r="M372" i="3"/>
  <c r="M376" i="3"/>
  <c r="M380" i="3"/>
  <c r="M384" i="3"/>
  <c r="M388" i="3"/>
  <c r="M392" i="3"/>
  <c r="M396" i="3"/>
  <c r="M400" i="3"/>
  <c r="M404" i="3"/>
  <c r="M408" i="3"/>
  <c r="M412" i="3"/>
  <c r="M416" i="3"/>
  <c r="M420" i="3"/>
  <c r="M424" i="3"/>
  <c r="M428" i="3"/>
  <c r="V142" i="3"/>
  <c r="V334" i="3"/>
  <c r="V362" i="3"/>
  <c r="V378" i="3"/>
  <c r="V402" i="3"/>
  <c r="V418" i="3"/>
  <c r="V426" i="3"/>
  <c r="M355" i="3"/>
  <c r="M359" i="3"/>
  <c r="M363" i="3"/>
  <c r="M367" i="3"/>
  <c r="M371" i="3"/>
  <c r="M375" i="3"/>
  <c r="M379" i="3"/>
  <c r="M383" i="3"/>
  <c r="M387" i="3"/>
  <c r="M391" i="3"/>
  <c r="M395" i="3"/>
  <c r="M399" i="3"/>
  <c r="M403" i="3"/>
  <c r="M407" i="3"/>
  <c r="M411" i="3"/>
  <c r="M415" i="3"/>
  <c r="M419" i="3"/>
  <c r="M423" i="3"/>
  <c r="M427" i="3"/>
  <c r="V23" i="3"/>
  <c r="V27" i="3"/>
  <c r="V31" i="3"/>
  <c r="V35" i="3"/>
  <c r="V143" i="3"/>
  <c r="V159" i="3"/>
  <c r="V295" i="3"/>
  <c r="V307" i="3"/>
  <c r="V335" i="3"/>
  <c r="V343" i="3"/>
  <c r="V347" i="3"/>
  <c r="V363" i="3"/>
  <c r="V367" i="3"/>
  <c r="V371" i="3"/>
  <c r="V379" i="3"/>
  <c r="V395" i="3"/>
  <c r="V403" i="3"/>
  <c r="V419" i="3"/>
  <c r="V427" i="3"/>
  <c r="Q114" i="3" l="1"/>
  <c r="Q423" i="3"/>
  <c r="Q193" i="3"/>
  <c r="Q404" i="3"/>
  <c r="Q27" i="3"/>
  <c r="Q304" i="3"/>
  <c r="Q93" i="3"/>
  <c r="Q123" i="3"/>
  <c r="Q292" i="3"/>
  <c r="Q351" i="3"/>
  <c r="Q121" i="3"/>
  <c r="Q248" i="3"/>
  <c r="Q61" i="3"/>
  <c r="Q279" i="3"/>
  <c r="Q71" i="3"/>
  <c r="Q22" i="3"/>
  <c r="Q360" i="3"/>
  <c r="Q136" i="3"/>
  <c r="Q391" i="3"/>
  <c r="Q195" i="3"/>
  <c r="Q126" i="3"/>
  <c r="Q330" i="3"/>
  <c r="Q240" i="3"/>
  <c r="Q246" i="3"/>
  <c r="Q317" i="3"/>
  <c r="Q180" i="3"/>
  <c r="Q20" i="3"/>
  <c r="Q307" i="3"/>
  <c r="Q167" i="3"/>
  <c r="Q34" i="3"/>
  <c r="Q428" i="3"/>
  <c r="Q12" i="3"/>
  <c r="Q417" i="3"/>
  <c r="Q106" i="3"/>
  <c r="Q14" i="3"/>
  <c r="N379" i="3"/>
  <c r="N311" i="3"/>
  <c r="N423" i="3"/>
  <c r="Q64" i="3"/>
  <c r="Q431" i="3"/>
  <c r="Q239" i="3"/>
  <c r="Q53" i="3"/>
  <c r="Q224" i="3"/>
  <c r="Q420" i="3"/>
  <c r="Q349" i="3"/>
  <c r="Q264" i="3"/>
  <c r="Q189" i="3"/>
  <c r="Q120" i="3"/>
  <c r="Q36" i="3"/>
  <c r="Q407" i="3"/>
  <c r="Q339" i="3"/>
  <c r="Q251" i="3"/>
  <c r="Q179" i="3"/>
  <c r="Q107" i="3"/>
  <c r="Q290" i="3"/>
  <c r="Q286" i="3"/>
  <c r="Q80" i="3"/>
  <c r="Q305" i="3"/>
  <c r="Q134" i="3"/>
  <c r="Q338" i="3"/>
  <c r="Q393" i="3"/>
  <c r="Q201" i="3"/>
  <c r="Q110" i="3"/>
  <c r="Q376" i="3"/>
  <c r="Q308" i="3"/>
  <c r="Q232" i="3"/>
  <c r="Q148" i="3"/>
  <c r="Q77" i="3"/>
  <c r="Q8" i="3"/>
  <c r="Q363" i="3"/>
  <c r="Q295" i="3"/>
  <c r="Q219" i="3"/>
  <c r="Q135" i="3"/>
  <c r="Q51" i="3"/>
  <c r="Q396" i="3"/>
  <c r="Q172" i="3"/>
  <c r="Q362" i="3"/>
  <c r="Q218" i="3"/>
  <c r="Q74" i="3"/>
  <c r="Q281" i="3"/>
  <c r="Q89" i="3"/>
  <c r="Q412" i="3"/>
  <c r="E439" i="3"/>
  <c r="N220" i="3"/>
  <c r="N55" i="3"/>
  <c r="Q392" i="3"/>
  <c r="Q333" i="3"/>
  <c r="Q276" i="3"/>
  <c r="Q221" i="3"/>
  <c r="Q164" i="3"/>
  <c r="Q104" i="3"/>
  <c r="Q52" i="3"/>
  <c r="Q306" i="3"/>
  <c r="Q379" i="3"/>
  <c r="Q323" i="3"/>
  <c r="Q263" i="3"/>
  <c r="Q211" i="3"/>
  <c r="Q151" i="3"/>
  <c r="Q87" i="3"/>
  <c r="Q11" i="3"/>
  <c r="Q350" i="3"/>
  <c r="Q204" i="3"/>
  <c r="Q48" i="3"/>
  <c r="Q390" i="3"/>
  <c r="Q278" i="3"/>
  <c r="Q161" i="3"/>
  <c r="Q49" i="3"/>
  <c r="Q313" i="3"/>
  <c r="Q165" i="3"/>
  <c r="Q9" i="3"/>
  <c r="Q320" i="3"/>
  <c r="P217" i="3"/>
  <c r="P12" i="3"/>
  <c r="Q413" i="3"/>
  <c r="Q381" i="3"/>
  <c r="Q356" i="3"/>
  <c r="Q328" i="3"/>
  <c r="Q296" i="3"/>
  <c r="Q269" i="3"/>
  <c r="Q244" i="3"/>
  <c r="Q212" i="3"/>
  <c r="Q184" i="3"/>
  <c r="Q157" i="3"/>
  <c r="Q125" i="3"/>
  <c r="Q100" i="3"/>
  <c r="Q72" i="3"/>
  <c r="Q40" i="3"/>
  <c r="Q13" i="3"/>
  <c r="Q242" i="3"/>
  <c r="Q411" i="3"/>
  <c r="Q387" i="3"/>
  <c r="Q359" i="3"/>
  <c r="Q327" i="3"/>
  <c r="Q299" i="3"/>
  <c r="Q275" i="3"/>
  <c r="Q243" i="3"/>
  <c r="Q215" i="3"/>
  <c r="Q187" i="3"/>
  <c r="Q155" i="3"/>
  <c r="Q131" i="3"/>
  <c r="Q99" i="3"/>
  <c r="Q55" i="3"/>
  <c r="Q23" i="3"/>
  <c r="Q226" i="3"/>
  <c r="Q368" i="3"/>
  <c r="Q300" i="3"/>
  <c r="Q222" i="3"/>
  <c r="Q140" i="3"/>
  <c r="Q76" i="3"/>
  <c r="Q374" i="3"/>
  <c r="Q321" i="3"/>
  <c r="Q262" i="3"/>
  <c r="Q202" i="3"/>
  <c r="Q150" i="3"/>
  <c r="Q90" i="3"/>
  <c r="Q33" i="3"/>
  <c r="Q82" i="3"/>
  <c r="Q409" i="3"/>
  <c r="Q335" i="3"/>
  <c r="Q261" i="3"/>
  <c r="Q181" i="3"/>
  <c r="Q111" i="3"/>
  <c r="Q31" i="3"/>
  <c r="Q270" i="3"/>
  <c r="Q96" i="3"/>
  <c r="Q188" i="3"/>
  <c r="Q288" i="3"/>
  <c r="Q398" i="3"/>
  <c r="Q130" i="3"/>
  <c r="Q25" i="3"/>
  <c r="Q57" i="3"/>
  <c r="Q95" i="3"/>
  <c r="Q137" i="3"/>
  <c r="Q175" i="3"/>
  <c r="Q207" i="3"/>
  <c r="Q249" i="3"/>
  <c r="Q287" i="3"/>
  <c r="Q325" i="3"/>
  <c r="Q367" i="3"/>
  <c r="Q399" i="3"/>
  <c r="Q274" i="3"/>
  <c r="Q10" i="3"/>
  <c r="Q42" i="3"/>
  <c r="Q70" i="3"/>
  <c r="Q97" i="3"/>
  <c r="Q129" i="3"/>
  <c r="Q154" i="3"/>
  <c r="Q182" i="3"/>
  <c r="Q214" i="3"/>
  <c r="Q241" i="3"/>
  <c r="Q266" i="3"/>
  <c r="Q298" i="3"/>
  <c r="Q326" i="3"/>
  <c r="Q353" i="3"/>
  <c r="Q385" i="3"/>
  <c r="Q410" i="3"/>
  <c r="Q32" i="3"/>
  <c r="Q156" i="3"/>
  <c r="Q238" i="3"/>
  <c r="Q334" i="3"/>
  <c r="Q5" i="3"/>
  <c r="Q37" i="3"/>
  <c r="Q79" i="3"/>
  <c r="Q117" i="3"/>
  <c r="Q153" i="3"/>
  <c r="Q197" i="3"/>
  <c r="Q229" i="3"/>
  <c r="Q265" i="3"/>
  <c r="Q309" i="3"/>
  <c r="Q345" i="3"/>
  <c r="Q377" i="3"/>
  <c r="Q421" i="3"/>
  <c r="Q18" i="3"/>
  <c r="Q402" i="3"/>
  <c r="Q26" i="3"/>
  <c r="Q54" i="3"/>
  <c r="Q86" i="3"/>
  <c r="Q113" i="3"/>
  <c r="Q138" i="3"/>
  <c r="Q170" i="3"/>
  <c r="Q198" i="3"/>
  <c r="Q225" i="3"/>
  <c r="Q257" i="3"/>
  <c r="Q282" i="3"/>
  <c r="Q310" i="3"/>
  <c r="Q342" i="3"/>
  <c r="Q369" i="3"/>
  <c r="Q394" i="3"/>
  <c r="Q426" i="3"/>
  <c r="Q44" i="3"/>
  <c r="Q94" i="3"/>
  <c r="Q158" i="3"/>
  <c r="Q208" i="3"/>
  <c r="Q268" i="3"/>
  <c r="Q332" i="3"/>
  <c r="Q382" i="3"/>
  <c r="Q162" i="3"/>
  <c r="Q7" i="3"/>
  <c r="Q35" i="3"/>
  <c r="Q67" i="3"/>
  <c r="Q91" i="3"/>
  <c r="Q119" i="3"/>
  <c r="Q139" i="3"/>
  <c r="Q163" i="3"/>
  <c r="Q183" i="3"/>
  <c r="Q203" i="3"/>
  <c r="Q227" i="3"/>
  <c r="Q247" i="3"/>
  <c r="Q267" i="3"/>
  <c r="Q291" i="3"/>
  <c r="Q311" i="3"/>
  <c r="Q331" i="3"/>
  <c r="Q355" i="3"/>
  <c r="Q375" i="3"/>
  <c r="Q395" i="3"/>
  <c r="Q419" i="3"/>
  <c r="Q178" i="3"/>
  <c r="Q4" i="3"/>
  <c r="Q24" i="3"/>
  <c r="Q45" i="3"/>
  <c r="Q68" i="3"/>
  <c r="Q88" i="3"/>
  <c r="Q109" i="3"/>
  <c r="Q132" i="3"/>
  <c r="Q152" i="3"/>
  <c r="Q173" i="3"/>
  <c r="Q196" i="3"/>
  <c r="Q216" i="3"/>
  <c r="Q237" i="3"/>
  <c r="Q260" i="3"/>
  <c r="Q280" i="3"/>
  <c r="Q301" i="3"/>
  <c r="Q324" i="3"/>
  <c r="Q344" i="3"/>
  <c r="Q365" i="3"/>
  <c r="Q388" i="3"/>
  <c r="Q408" i="3"/>
  <c r="Q424" i="3"/>
  <c r="Q397" i="3"/>
  <c r="Q372" i="3"/>
  <c r="Q340" i="3"/>
  <c r="Q312" i="3"/>
  <c r="Q285" i="3"/>
  <c r="Q253" i="3"/>
  <c r="Q228" i="3"/>
  <c r="Q200" i="3"/>
  <c r="Q168" i="3"/>
  <c r="Q141" i="3"/>
  <c r="Q116" i="3"/>
  <c r="Q84" i="3"/>
  <c r="Q56" i="3"/>
  <c r="Q29" i="3"/>
  <c r="Q370" i="3"/>
  <c r="Q50" i="3"/>
  <c r="Q427" i="3"/>
  <c r="Q403" i="3"/>
  <c r="Q371" i="3"/>
  <c r="Q343" i="3"/>
  <c r="Q315" i="3"/>
  <c r="Q283" i="3"/>
  <c r="Q259" i="3"/>
  <c r="Q231" i="3"/>
  <c r="Q199" i="3"/>
  <c r="Q171" i="3"/>
  <c r="Q147" i="3"/>
  <c r="Q115" i="3"/>
  <c r="Q75" i="3"/>
  <c r="Q43" i="3"/>
  <c r="Q418" i="3"/>
  <c r="Q414" i="3"/>
  <c r="Q336" i="3"/>
  <c r="Q254" i="3"/>
  <c r="Q176" i="3"/>
  <c r="Q112" i="3"/>
  <c r="Q30" i="3"/>
  <c r="Q406" i="3"/>
  <c r="Q346" i="3"/>
  <c r="Q289" i="3"/>
  <c r="Q234" i="3"/>
  <c r="Q177" i="3"/>
  <c r="Q118" i="3"/>
  <c r="Q65" i="3"/>
  <c r="Q6" i="3"/>
  <c r="Q373" i="3"/>
  <c r="Q293" i="3"/>
  <c r="Q223" i="3"/>
  <c r="Q143" i="3"/>
  <c r="Q69" i="3"/>
  <c r="Q258" i="3"/>
  <c r="Q380" i="3"/>
  <c r="Q160" i="3"/>
  <c r="S355" i="3"/>
  <c r="O100" i="3"/>
  <c r="N404" i="3"/>
  <c r="P269" i="3"/>
  <c r="P296" i="3"/>
  <c r="T430" i="3"/>
  <c r="T19" i="3"/>
  <c r="T83" i="3"/>
  <c r="T147" i="3"/>
  <c r="T211" i="3"/>
  <c r="T263" i="3"/>
  <c r="T311" i="3"/>
  <c r="T371" i="3"/>
  <c r="T419" i="3"/>
  <c r="T12" i="3"/>
  <c r="T76" i="3"/>
  <c r="T136" i="3"/>
  <c r="T184" i="3"/>
  <c r="T248" i="3"/>
  <c r="T312" i="3"/>
  <c r="T376" i="3"/>
  <c r="T9" i="3"/>
  <c r="T73" i="3"/>
  <c r="T133" i="3"/>
  <c r="T181" i="3"/>
  <c r="T245" i="3"/>
  <c r="T309" i="3"/>
  <c r="T373" i="3"/>
  <c r="T421" i="3"/>
  <c r="T30" i="3"/>
  <c r="T90" i="3"/>
  <c r="T114" i="3"/>
  <c r="T138" i="3"/>
  <c r="T158" i="3"/>
  <c r="T186" i="3"/>
  <c r="T206" i="3"/>
  <c r="T230" i="3"/>
  <c r="T246" i="3"/>
  <c r="T262" i="3"/>
  <c r="T278" i="3"/>
  <c r="T294" i="3"/>
  <c r="T310" i="3"/>
  <c r="T326" i="3"/>
  <c r="T342" i="3"/>
  <c r="T358" i="3"/>
  <c r="T374" i="3"/>
  <c r="T390" i="3"/>
  <c r="T406" i="3"/>
  <c r="T422" i="3"/>
  <c r="T23" i="3"/>
  <c r="T87" i="3"/>
  <c r="T151" i="3"/>
  <c r="T215" i="3"/>
  <c r="T275" i="3"/>
  <c r="T339" i="3"/>
  <c r="T375" i="3"/>
  <c r="T24" i="3"/>
  <c r="T88" i="3"/>
  <c r="T140" i="3"/>
  <c r="T204" i="3"/>
  <c r="T268" i="3"/>
  <c r="T332" i="3"/>
  <c r="T396" i="3"/>
  <c r="T21" i="3"/>
  <c r="T85" i="3"/>
  <c r="T137" i="3"/>
  <c r="T201" i="3"/>
  <c r="T265" i="3"/>
  <c r="T329" i="3"/>
  <c r="T377" i="3"/>
  <c r="T425" i="3"/>
  <c r="T42" i="3"/>
  <c r="T94" i="3"/>
  <c r="T122" i="3"/>
  <c r="T142" i="3"/>
  <c r="T162" i="3"/>
  <c r="T190" i="3"/>
  <c r="T214" i="3"/>
  <c r="T234" i="3"/>
  <c r="T250" i="3"/>
  <c r="T266" i="3"/>
  <c r="T282" i="3"/>
  <c r="T298" i="3"/>
  <c r="T314" i="3"/>
  <c r="T330" i="3"/>
  <c r="T346" i="3"/>
  <c r="T362" i="3"/>
  <c r="T378" i="3"/>
  <c r="T394" i="3"/>
  <c r="T410" i="3"/>
  <c r="T426" i="3"/>
  <c r="T398" i="3"/>
  <c r="T366" i="3"/>
  <c r="T334" i="3"/>
  <c r="T302" i="3"/>
  <c r="T270" i="3"/>
  <c r="T238" i="3"/>
  <c r="T198" i="3"/>
  <c r="T146" i="3"/>
  <c r="T106" i="3"/>
  <c r="T10" i="3"/>
  <c r="T341" i="3"/>
  <c r="T213" i="3"/>
  <c r="T105" i="3"/>
  <c r="T408" i="3"/>
  <c r="T280" i="3"/>
  <c r="T152" i="3"/>
  <c r="T44" i="3"/>
  <c r="T407" i="3"/>
  <c r="T307" i="3"/>
  <c r="T183" i="3"/>
  <c r="T55" i="3"/>
  <c r="T418" i="3"/>
  <c r="T386" i="3"/>
  <c r="T354" i="3"/>
  <c r="T322" i="3"/>
  <c r="T290" i="3"/>
  <c r="T258" i="3"/>
  <c r="T222" i="3"/>
  <c r="T174" i="3"/>
  <c r="T130" i="3"/>
  <c r="T74" i="3"/>
  <c r="T405" i="3"/>
  <c r="T297" i="3"/>
  <c r="T169" i="3"/>
  <c r="T53" i="3"/>
  <c r="T364" i="3"/>
  <c r="T236" i="3"/>
  <c r="T120" i="3"/>
  <c r="T403" i="3"/>
  <c r="T279" i="3"/>
  <c r="T179" i="3"/>
  <c r="T51" i="3"/>
  <c r="Q429" i="3"/>
  <c r="O420" i="3"/>
  <c r="O67" i="3"/>
  <c r="O156" i="3"/>
  <c r="O87" i="3"/>
  <c r="N6" i="3"/>
  <c r="N413" i="3"/>
  <c r="N223" i="3"/>
  <c r="O138" i="3"/>
  <c r="O392" i="3"/>
  <c r="O180" i="3"/>
  <c r="N391" i="3"/>
  <c r="N183" i="3"/>
  <c r="O369" i="3"/>
  <c r="O37" i="3"/>
  <c r="S401" i="3"/>
  <c r="S188" i="3"/>
  <c r="S306" i="3"/>
  <c r="S50" i="3"/>
  <c r="S386" i="3"/>
  <c r="S76" i="3"/>
  <c r="R114" i="3"/>
  <c r="R247" i="3"/>
  <c r="R424" i="3"/>
  <c r="R60" i="3"/>
  <c r="R362" i="3"/>
  <c r="R262" i="3"/>
  <c r="R311" i="3"/>
  <c r="R148" i="3"/>
  <c r="R404" i="3"/>
  <c r="R149" i="3"/>
  <c r="P396" i="3"/>
  <c r="P232" i="3"/>
  <c r="R272" i="3"/>
  <c r="P387" i="3"/>
  <c r="P83" i="3"/>
  <c r="P353" i="3"/>
  <c r="P108" i="3"/>
  <c r="P236" i="3"/>
  <c r="P332" i="3"/>
  <c r="P424" i="3"/>
  <c r="P181" i="3"/>
  <c r="P401" i="3"/>
  <c r="P360" i="3"/>
  <c r="P140" i="3"/>
  <c r="P268" i="3"/>
  <c r="P428" i="3"/>
  <c r="P364" i="3"/>
  <c r="P204" i="3"/>
  <c r="R212" i="3"/>
  <c r="P45" i="3"/>
  <c r="R126" i="3"/>
  <c r="P278" i="3"/>
  <c r="P165" i="3"/>
  <c r="R55" i="3"/>
  <c r="P300" i="3"/>
  <c r="P76" i="3"/>
  <c r="R12" i="3"/>
  <c r="P233" i="3"/>
  <c r="R183" i="3"/>
  <c r="P158" i="3"/>
  <c r="F439" i="3"/>
  <c r="N343" i="3"/>
  <c r="N95" i="3"/>
  <c r="Q103" i="3"/>
  <c r="Q83" i="3"/>
  <c r="Q59" i="3"/>
  <c r="Q39" i="3"/>
  <c r="Q19" i="3"/>
  <c r="Q354" i="3"/>
  <c r="Q98" i="3"/>
  <c r="Q400" i="3"/>
  <c r="Q364" i="3"/>
  <c r="Q318" i="3"/>
  <c r="Q272" i="3"/>
  <c r="Q236" i="3"/>
  <c r="Q190" i="3"/>
  <c r="Q144" i="3"/>
  <c r="Q108" i="3"/>
  <c r="Q62" i="3"/>
  <c r="Q16" i="3"/>
  <c r="N360" i="3"/>
  <c r="Q422" i="3"/>
  <c r="Q401" i="3"/>
  <c r="Q378" i="3"/>
  <c r="Q358" i="3"/>
  <c r="Q337" i="3"/>
  <c r="Q314" i="3"/>
  <c r="Q294" i="3"/>
  <c r="Q273" i="3"/>
  <c r="Q250" i="3"/>
  <c r="Q230" i="3"/>
  <c r="Q209" i="3"/>
  <c r="Q186" i="3"/>
  <c r="Q166" i="3"/>
  <c r="Q145" i="3"/>
  <c r="Q122" i="3"/>
  <c r="Q102" i="3"/>
  <c r="Q81" i="3"/>
  <c r="Q58" i="3"/>
  <c r="Q38" i="3"/>
  <c r="Q17" i="3"/>
  <c r="Q146" i="3"/>
  <c r="Q415" i="3"/>
  <c r="Q389" i="3"/>
  <c r="Q357" i="3"/>
  <c r="Q329" i="3"/>
  <c r="Q303" i="3"/>
  <c r="Q271" i="3"/>
  <c r="Q245" i="3"/>
  <c r="Q217" i="3"/>
  <c r="Q185" i="3"/>
  <c r="Q159" i="3"/>
  <c r="Q133" i="3"/>
  <c r="Q101" i="3"/>
  <c r="Q73" i="3"/>
  <c r="Q47" i="3"/>
  <c r="Q15" i="3"/>
  <c r="Q386" i="3"/>
  <c r="Q352" i="3"/>
  <c r="Q284" i="3"/>
  <c r="Q206" i="3"/>
  <c r="Q124" i="3"/>
  <c r="Q60" i="3"/>
  <c r="O47" i="3"/>
  <c r="O299" i="3"/>
  <c r="O217" i="3"/>
  <c r="T182" i="3"/>
  <c r="T166" i="3"/>
  <c r="T150" i="3"/>
  <c r="T134" i="3"/>
  <c r="T118" i="3"/>
  <c r="T102" i="3"/>
  <c r="T86" i="3"/>
  <c r="T58" i="3"/>
  <c r="T26" i="3"/>
  <c r="T389" i="3"/>
  <c r="T357" i="3"/>
  <c r="T325" i="3"/>
  <c r="T293" i="3"/>
  <c r="T261" i="3"/>
  <c r="T229" i="3"/>
  <c r="T197" i="3"/>
  <c r="T165" i="3"/>
  <c r="T101" i="3"/>
  <c r="T69" i="3"/>
  <c r="T37" i="3"/>
  <c r="T424" i="3"/>
  <c r="T392" i="3"/>
  <c r="T360" i="3"/>
  <c r="T328" i="3"/>
  <c r="T296" i="3"/>
  <c r="T264" i="3"/>
  <c r="T232" i="3"/>
  <c r="T200" i="3"/>
  <c r="T168" i="3"/>
  <c r="T104" i="3"/>
  <c r="T72" i="3"/>
  <c r="T40" i="3"/>
  <c r="T8" i="3"/>
  <c r="T423" i="3"/>
  <c r="T391" i="3"/>
  <c r="T327" i="3"/>
  <c r="T295" i="3"/>
  <c r="T231" i="3"/>
  <c r="T199" i="3"/>
  <c r="T167" i="3"/>
  <c r="T135" i="3"/>
  <c r="T103" i="3"/>
  <c r="T71" i="3"/>
  <c r="T39" i="3"/>
  <c r="T226" i="3"/>
  <c r="T210" i="3"/>
  <c r="T194" i="3"/>
  <c r="T178" i="3"/>
  <c r="T98" i="3"/>
  <c r="T78" i="3"/>
  <c r="T46" i="3"/>
  <c r="T409" i="3"/>
  <c r="T345" i="3"/>
  <c r="T313" i="3"/>
  <c r="T281" i="3"/>
  <c r="T249" i="3"/>
  <c r="T217" i="3"/>
  <c r="T185" i="3"/>
  <c r="T153" i="3"/>
  <c r="T121" i="3"/>
  <c r="T89" i="3"/>
  <c r="T57" i="3"/>
  <c r="T25" i="3"/>
  <c r="T412" i="3"/>
  <c r="T380" i="3"/>
  <c r="T348" i="3"/>
  <c r="T316" i="3"/>
  <c r="T284" i="3"/>
  <c r="T252" i="3"/>
  <c r="T220" i="3"/>
  <c r="T188" i="3"/>
  <c r="T156" i="3"/>
  <c r="T124" i="3"/>
  <c r="T92" i="3"/>
  <c r="T60" i="3"/>
  <c r="T28" i="3"/>
  <c r="T387" i="3"/>
  <c r="T355" i="3"/>
  <c r="T323" i="3"/>
  <c r="T291" i="3"/>
  <c r="T259" i="3"/>
  <c r="T227" i="3"/>
  <c r="T195" i="3"/>
  <c r="T163" i="3"/>
  <c r="T131" i="3"/>
  <c r="T99" i="3"/>
  <c r="T67" i="3"/>
  <c r="T70" i="3"/>
  <c r="T54" i="3"/>
  <c r="T38" i="3"/>
  <c r="T22" i="3"/>
  <c r="T6" i="3"/>
  <c r="T417" i="3"/>
  <c r="T401" i="3"/>
  <c r="T385" i="3"/>
  <c r="T369" i="3"/>
  <c r="T353" i="3"/>
  <c r="T337" i="3"/>
  <c r="T321" i="3"/>
  <c r="T305" i="3"/>
  <c r="T289" i="3"/>
  <c r="T273" i="3"/>
  <c r="T257" i="3"/>
  <c r="T241" i="3"/>
  <c r="T225" i="3"/>
  <c r="T209" i="3"/>
  <c r="T193" i="3"/>
  <c r="T177" i="3"/>
  <c r="T161" i="3"/>
  <c r="T145" i="3"/>
  <c r="T129" i="3"/>
  <c r="T113" i="3"/>
  <c r="T97" i="3"/>
  <c r="T81" i="3"/>
  <c r="T65" i="3"/>
  <c r="T49" i="3"/>
  <c r="T33" i="3"/>
  <c r="T17" i="3"/>
  <c r="T420" i="3"/>
  <c r="T404" i="3"/>
  <c r="T388" i="3"/>
  <c r="T372" i="3"/>
  <c r="T356" i="3"/>
  <c r="T340" i="3"/>
  <c r="T324" i="3"/>
  <c r="T308" i="3"/>
  <c r="T292" i="3"/>
  <c r="T276" i="3"/>
  <c r="T260" i="3"/>
  <c r="T244" i="3"/>
  <c r="T228" i="3"/>
  <c r="T212" i="3"/>
  <c r="T196" i="3"/>
  <c r="T180" i="3"/>
  <c r="T164" i="3"/>
  <c r="T148" i="3"/>
  <c r="T132" i="3"/>
  <c r="T116" i="3"/>
  <c r="T100" i="3"/>
  <c r="T84" i="3"/>
  <c r="T68" i="3"/>
  <c r="T52" i="3"/>
  <c r="T36" i="3"/>
  <c r="T20" i="3"/>
  <c r="T4" i="3"/>
  <c r="T431" i="3"/>
  <c r="T415" i="3"/>
  <c r="T399" i="3"/>
  <c r="T383" i="3"/>
  <c r="T367" i="3"/>
  <c r="T351" i="3"/>
  <c r="T335" i="3"/>
  <c r="T319" i="3"/>
  <c r="T303" i="3"/>
  <c r="T287" i="3"/>
  <c r="T271" i="3"/>
  <c r="T255" i="3"/>
  <c r="T239" i="3"/>
  <c r="T223" i="3"/>
  <c r="T207" i="3"/>
  <c r="T191" i="3"/>
  <c r="T175" i="3"/>
  <c r="T159" i="3"/>
  <c r="T143" i="3"/>
  <c r="T127" i="3"/>
  <c r="T111" i="3"/>
  <c r="T95" i="3"/>
  <c r="T79" i="3"/>
  <c r="T63" i="3"/>
  <c r="T47" i="3"/>
  <c r="T31" i="3"/>
  <c r="T15" i="3"/>
  <c r="T82" i="3"/>
  <c r="T66" i="3"/>
  <c r="T50" i="3"/>
  <c r="T34" i="3"/>
  <c r="T18" i="3"/>
  <c r="T429" i="3"/>
  <c r="T413" i="3"/>
  <c r="T397" i="3"/>
  <c r="T381" i="3"/>
  <c r="T365" i="3"/>
  <c r="T349" i="3"/>
  <c r="T333" i="3"/>
  <c r="T317" i="3"/>
  <c r="T301" i="3"/>
  <c r="T285" i="3"/>
  <c r="T269" i="3"/>
  <c r="T253" i="3"/>
  <c r="T237" i="3"/>
  <c r="T221" i="3"/>
  <c r="T205" i="3"/>
  <c r="T189" i="3"/>
  <c r="T173" i="3"/>
  <c r="T157" i="3"/>
  <c r="T141" i="3"/>
  <c r="T125" i="3"/>
  <c r="T109" i="3"/>
  <c r="T93" i="3"/>
  <c r="T77" i="3"/>
  <c r="T61" i="3"/>
  <c r="T45" i="3"/>
  <c r="T29" i="3"/>
  <c r="T13" i="3"/>
  <c r="T416" i="3"/>
  <c r="T400" i="3"/>
  <c r="T384" i="3"/>
  <c r="T368" i="3"/>
  <c r="T352" i="3"/>
  <c r="T336" i="3"/>
  <c r="T320" i="3"/>
  <c r="T304" i="3"/>
  <c r="T288" i="3"/>
  <c r="T272" i="3"/>
  <c r="T256" i="3"/>
  <c r="T240" i="3"/>
  <c r="T224" i="3"/>
  <c r="T208" i="3"/>
  <c r="T192" i="3"/>
  <c r="T176" i="3"/>
  <c r="T160" i="3"/>
  <c r="T144" i="3"/>
  <c r="T128" i="3"/>
  <c r="T112" i="3"/>
  <c r="T96" i="3"/>
  <c r="T80" i="3"/>
  <c r="T64" i="3"/>
  <c r="T48" i="3"/>
  <c r="T32" i="3"/>
  <c r="T16" i="3"/>
  <c r="T427" i="3"/>
  <c r="T411" i="3"/>
  <c r="T395" i="3"/>
  <c r="T379" i="3"/>
  <c r="T363" i="3"/>
  <c r="T347" i="3"/>
  <c r="T331" i="3"/>
  <c r="T315" i="3"/>
  <c r="T299" i="3"/>
  <c r="T283" i="3"/>
  <c r="T267" i="3"/>
  <c r="T251" i="3"/>
  <c r="T235" i="3"/>
  <c r="T219" i="3"/>
  <c r="T203" i="3"/>
  <c r="T187" i="3"/>
  <c r="T171" i="3"/>
  <c r="T155" i="3"/>
  <c r="T139" i="3"/>
  <c r="T123" i="3"/>
  <c r="T107" i="3"/>
  <c r="T91" i="3"/>
  <c r="T75" i="3"/>
  <c r="T59" i="3"/>
  <c r="T43" i="3"/>
  <c r="T27" i="3"/>
  <c r="T11" i="3"/>
  <c r="P95" i="3"/>
  <c r="P211" i="3"/>
  <c r="P347" i="3"/>
  <c r="P6" i="3"/>
  <c r="P66" i="3"/>
  <c r="P114" i="3"/>
  <c r="P174" i="3"/>
  <c r="P238" i="3"/>
  <c r="P286" i="3"/>
  <c r="P342" i="3"/>
  <c r="P394" i="3"/>
  <c r="P430" i="3"/>
  <c r="P329" i="3"/>
  <c r="P119" i="3"/>
  <c r="P253" i="3"/>
  <c r="P363" i="3"/>
  <c r="P22" i="3"/>
  <c r="P70" i="3"/>
  <c r="P130" i="3"/>
  <c r="P194" i="3"/>
  <c r="P242" i="3"/>
  <c r="P302" i="3"/>
  <c r="P362" i="3"/>
  <c r="P398" i="3"/>
  <c r="P73" i="3"/>
  <c r="P29" i="3"/>
  <c r="P61" i="3"/>
  <c r="P97" i="3"/>
  <c r="P129" i="3"/>
  <c r="P163" i="3"/>
  <c r="P197" i="3"/>
  <c r="P229" i="3"/>
  <c r="P263" i="3"/>
  <c r="P297" i="3"/>
  <c r="P331" i="3"/>
  <c r="P365" i="3"/>
  <c r="P397" i="3"/>
  <c r="P183" i="3"/>
  <c r="P86" i="3"/>
  <c r="P198" i="3"/>
  <c r="P322" i="3"/>
  <c r="P410" i="3"/>
  <c r="P13" i="3"/>
  <c r="P49" i="3"/>
  <c r="P101" i="3"/>
  <c r="P145" i="3"/>
  <c r="P185" i="3"/>
  <c r="P235" i="3"/>
  <c r="P281" i="3"/>
  <c r="P317" i="3"/>
  <c r="P369" i="3"/>
  <c r="P415" i="3"/>
  <c r="P24" i="3"/>
  <c r="P56" i="3"/>
  <c r="P88" i="3"/>
  <c r="P120" i="3"/>
  <c r="P152" i="3"/>
  <c r="P184" i="3"/>
  <c r="P216" i="3"/>
  <c r="P248" i="3"/>
  <c r="P280" i="3"/>
  <c r="P312" i="3"/>
  <c r="P344" i="3"/>
  <c r="P376" i="3"/>
  <c r="P408" i="3"/>
  <c r="P77" i="3"/>
  <c r="P299" i="3"/>
  <c r="P150" i="3"/>
  <c r="P167" i="3"/>
  <c r="P301" i="3"/>
  <c r="P104" i="3"/>
  <c r="P168" i="3"/>
  <c r="P31" i="3"/>
  <c r="P271" i="3"/>
  <c r="P345" i="3"/>
  <c r="P110" i="3"/>
  <c r="P214" i="3"/>
  <c r="P326" i="3"/>
  <c r="P426" i="3"/>
  <c r="P17" i="3"/>
  <c r="P65" i="3"/>
  <c r="P113" i="3"/>
  <c r="P149" i="3"/>
  <c r="P201" i="3"/>
  <c r="P247" i="3"/>
  <c r="P285" i="3"/>
  <c r="P335" i="3"/>
  <c r="P381" i="3"/>
  <c r="P419" i="3"/>
  <c r="P89" i="3"/>
  <c r="P28" i="3"/>
  <c r="P60" i="3"/>
  <c r="P92" i="3"/>
  <c r="P124" i="3"/>
  <c r="P156" i="3"/>
  <c r="P188" i="3"/>
  <c r="P220" i="3"/>
  <c r="P252" i="3"/>
  <c r="P284" i="3"/>
  <c r="P316" i="3"/>
  <c r="P348" i="3"/>
  <c r="P380" i="3"/>
  <c r="P412" i="3"/>
  <c r="P30" i="3"/>
  <c r="P258" i="3"/>
  <c r="P366" i="3"/>
  <c r="P33" i="3"/>
  <c r="P79" i="3"/>
  <c r="P117" i="3"/>
  <c r="P213" i="3"/>
  <c r="P251" i="3"/>
  <c r="P349" i="3"/>
  <c r="P385" i="3"/>
  <c r="P8" i="3"/>
  <c r="P40" i="3"/>
  <c r="P72" i="3"/>
  <c r="P136" i="3"/>
  <c r="P200" i="3"/>
  <c r="R302" i="3"/>
  <c r="R65" i="3"/>
  <c r="R185" i="3"/>
  <c r="R313" i="3"/>
  <c r="R312" i="3"/>
  <c r="R10" i="3"/>
  <c r="R62" i="3"/>
  <c r="R124" i="3"/>
  <c r="R198" i="3"/>
  <c r="R274" i="3"/>
  <c r="R338" i="3"/>
  <c r="R396" i="3"/>
  <c r="R158" i="3"/>
  <c r="R414" i="3"/>
  <c r="R7" i="3"/>
  <c r="R39" i="3"/>
  <c r="R71" i="3"/>
  <c r="R103" i="3"/>
  <c r="R135" i="3"/>
  <c r="R167" i="3"/>
  <c r="R199" i="3"/>
  <c r="R231" i="3"/>
  <c r="R263" i="3"/>
  <c r="R295" i="3"/>
  <c r="R327" i="3"/>
  <c r="R359" i="3"/>
  <c r="R391" i="3"/>
  <c r="R423" i="3"/>
  <c r="R366" i="3"/>
  <c r="R17" i="3"/>
  <c r="R101" i="3"/>
  <c r="R193" i="3"/>
  <c r="R357" i="3"/>
  <c r="R376" i="3"/>
  <c r="R30" i="3"/>
  <c r="R82" i="3"/>
  <c r="R150" i="3"/>
  <c r="R230" i="3"/>
  <c r="R300" i="3"/>
  <c r="R358" i="3"/>
  <c r="R418" i="3"/>
  <c r="R254" i="3"/>
  <c r="R19" i="3"/>
  <c r="R51" i="3"/>
  <c r="R83" i="3"/>
  <c r="R115" i="3"/>
  <c r="R147" i="3"/>
  <c r="R179" i="3"/>
  <c r="R211" i="3"/>
  <c r="R243" i="3"/>
  <c r="R275" i="3"/>
  <c r="R307" i="3"/>
  <c r="R339" i="3"/>
  <c r="R371" i="3"/>
  <c r="R403" i="3"/>
  <c r="R200" i="3"/>
  <c r="R24" i="3"/>
  <c r="R56" i="3"/>
  <c r="R88" i="3"/>
  <c r="R122" i="3"/>
  <c r="R164" i="3"/>
  <c r="R208" i="3"/>
  <c r="R250" i="3"/>
  <c r="R292" i="3"/>
  <c r="R21" i="3"/>
  <c r="R273" i="3"/>
  <c r="R34" i="3"/>
  <c r="R156" i="3"/>
  <c r="R310" i="3"/>
  <c r="R422" i="3"/>
  <c r="R286" i="3"/>
  <c r="R67" i="3"/>
  <c r="R131" i="3"/>
  <c r="R195" i="3"/>
  <c r="R259" i="3"/>
  <c r="R323" i="3"/>
  <c r="R387" i="3"/>
  <c r="R168" i="3"/>
  <c r="R28" i="3"/>
  <c r="R72" i="3"/>
  <c r="R108" i="3"/>
  <c r="R170" i="3"/>
  <c r="R228" i="3"/>
  <c r="R276" i="3"/>
  <c r="R336" i="3"/>
  <c r="R378" i="3"/>
  <c r="R420" i="3"/>
  <c r="R361" i="3"/>
  <c r="R99" i="3"/>
  <c r="R227" i="3"/>
  <c r="R355" i="3"/>
  <c r="R8" i="3"/>
  <c r="R44" i="3"/>
  <c r="R144" i="3"/>
  <c r="R256" i="3"/>
  <c r="R356" i="3"/>
  <c r="R57" i="3"/>
  <c r="R277" i="3"/>
  <c r="R120" i="3"/>
  <c r="R58" i="3"/>
  <c r="R188" i="3"/>
  <c r="R332" i="3"/>
  <c r="R382" i="3"/>
  <c r="R23" i="3"/>
  <c r="R87" i="3"/>
  <c r="R151" i="3"/>
  <c r="R215" i="3"/>
  <c r="R279" i="3"/>
  <c r="R343" i="3"/>
  <c r="R407" i="3"/>
  <c r="R296" i="3"/>
  <c r="R40" i="3"/>
  <c r="R76" i="3"/>
  <c r="R128" i="3"/>
  <c r="R186" i="3"/>
  <c r="R234" i="3"/>
  <c r="R298" i="3"/>
  <c r="R340" i="3"/>
  <c r="R384" i="3"/>
  <c r="R105" i="3"/>
  <c r="R94" i="3"/>
  <c r="R236" i="3"/>
  <c r="R364" i="3"/>
  <c r="R35" i="3"/>
  <c r="R163" i="3"/>
  <c r="R291" i="3"/>
  <c r="R419" i="3"/>
  <c r="R328" i="3"/>
  <c r="R92" i="3"/>
  <c r="R192" i="3"/>
  <c r="R314" i="3"/>
  <c r="R400" i="3"/>
  <c r="P46" i="3"/>
  <c r="P392" i="3"/>
  <c r="P328" i="3"/>
  <c r="P264" i="3"/>
  <c r="P172" i="3"/>
  <c r="P44" i="3"/>
  <c r="R320" i="3"/>
  <c r="R104" i="3"/>
  <c r="P313" i="3"/>
  <c r="P133" i="3"/>
  <c r="R375" i="3"/>
  <c r="R119" i="3"/>
  <c r="P378" i="3"/>
  <c r="R386" i="3"/>
  <c r="R401" i="3"/>
  <c r="S35" i="3"/>
  <c r="S115" i="3"/>
  <c r="S204" i="3"/>
  <c r="S17" i="3"/>
  <c r="S273" i="3"/>
  <c r="S163" i="3"/>
  <c r="S60" i="3"/>
  <c r="S316" i="3"/>
  <c r="S129" i="3"/>
  <c r="S385" i="3"/>
  <c r="S258" i="3"/>
  <c r="N60" i="3"/>
  <c r="N28" i="3"/>
  <c r="N156" i="3"/>
  <c r="N268" i="3"/>
  <c r="N364" i="3"/>
  <c r="N430" i="3"/>
  <c r="N84" i="3"/>
  <c r="N212" i="3"/>
  <c r="N324" i="3"/>
  <c r="N402" i="3"/>
  <c r="N411" i="3"/>
  <c r="N375" i="3"/>
  <c r="N287" i="3"/>
  <c r="N159" i="3"/>
  <c r="N31" i="3"/>
  <c r="S178" i="3"/>
  <c r="S257" i="3"/>
  <c r="N332" i="3"/>
  <c r="N92" i="3"/>
  <c r="O210" i="3"/>
  <c r="O150" i="3"/>
  <c r="O56" i="3"/>
  <c r="O231" i="3"/>
  <c r="O139" i="3"/>
  <c r="O155" i="3"/>
  <c r="O416" i="3"/>
  <c r="O196" i="3"/>
  <c r="O190" i="3"/>
  <c r="O133" i="3"/>
  <c r="O232" i="3"/>
  <c r="O179" i="3"/>
  <c r="O409" i="3"/>
  <c r="O81" i="3"/>
  <c r="O338" i="3"/>
  <c r="O90" i="3"/>
  <c r="O287" i="3"/>
  <c r="O429" i="3"/>
  <c r="O356" i="3"/>
  <c r="O108" i="3"/>
  <c r="O4" i="3"/>
  <c r="O119" i="3"/>
  <c r="O325" i="3"/>
  <c r="O128" i="3"/>
  <c r="O387" i="3"/>
  <c r="O278" i="3"/>
  <c r="O273" i="3"/>
  <c r="O250" i="3"/>
  <c r="O26" i="3"/>
  <c r="O427" i="3"/>
  <c r="N427" i="3"/>
  <c r="N403" i="3"/>
  <c r="N365" i="3"/>
  <c r="N247" i="3"/>
  <c r="N119" i="3"/>
  <c r="S130" i="3"/>
  <c r="S145" i="3"/>
  <c r="N428" i="3"/>
  <c r="N260" i="3"/>
  <c r="N20" i="3"/>
  <c r="S332" i="3"/>
  <c r="S371" i="3"/>
  <c r="O191" i="3"/>
  <c r="O386" i="3"/>
  <c r="O201" i="3"/>
  <c r="O288" i="3"/>
  <c r="O318" i="3"/>
  <c r="O93" i="3"/>
  <c r="P47" i="3"/>
  <c r="O237" i="3"/>
  <c r="O132" i="3"/>
  <c r="O349" i="3"/>
  <c r="O113" i="3"/>
  <c r="O413" i="3"/>
  <c r="O268" i="3"/>
  <c r="O44" i="3"/>
  <c r="O45" i="3"/>
  <c r="O333" i="3"/>
  <c r="O284" i="3"/>
  <c r="O76" i="3"/>
  <c r="O425" i="3"/>
  <c r="O365" i="3"/>
  <c r="O324" i="3"/>
  <c r="O116" i="3"/>
  <c r="O7" i="3"/>
  <c r="O185" i="3"/>
  <c r="O393" i="3"/>
  <c r="O286" i="3"/>
  <c r="O174" i="3"/>
  <c r="O22" i="3"/>
  <c r="O199" i="3"/>
  <c r="O295" i="3"/>
  <c r="O431" i="3"/>
  <c r="O117" i="3"/>
  <c r="O245" i="3"/>
  <c r="O341" i="3"/>
  <c r="O376" i="3"/>
  <c r="O320" i="3"/>
  <c r="O264" i="3"/>
  <c r="O200" i="3"/>
  <c r="O144" i="3"/>
  <c r="O88" i="3"/>
  <c r="O16" i="3"/>
  <c r="O99" i="3"/>
  <c r="O195" i="3"/>
  <c r="O323" i="3"/>
  <c r="O235" i="3"/>
  <c r="O363" i="3"/>
  <c r="O137" i="3"/>
  <c r="O345" i="3"/>
  <c r="O366" i="3"/>
  <c r="O230" i="3"/>
  <c r="O118" i="3"/>
  <c r="O30" i="3"/>
  <c r="O33" i="3"/>
  <c r="O161" i="3"/>
  <c r="O241" i="3"/>
  <c r="O353" i="3"/>
  <c r="O418" i="3"/>
  <c r="O378" i="3"/>
  <c r="O322" i="3"/>
  <c r="O282" i="3"/>
  <c r="O234" i="3"/>
  <c r="O186" i="3"/>
  <c r="O146" i="3"/>
  <c r="O106" i="3"/>
  <c r="O58" i="3"/>
  <c r="O18" i="3"/>
  <c r="O63" i="3"/>
  <c r="O159" i="3"/>
  <c r="O239" i="3"/>
  <c r="O319" i="3"/>
  <c r="O415" i="3"/>
  <c r="O412" i="3"/>
  <c r="O364" i="3"/>
  <c r="O276" i="3"/>
  <c r="O205" i="3"/>
  <c r="O300" i="3"/>
  <c r="O12" i="3"/>
  <c r="O221" i="3"/>
  <c r="O340" i="3"/>
  <c r="O60" i="3"/>
  <c r="O169" i="3"/>
  <c r="O348" i="3"/>
  <c r="O36" i="3"/>
  <c r="O57" i="3"/>
  <c r="O361" i="3"/>
  <c r="O254" i="3"/>
  <c r="O86" i="3"/>
  <c r="O151" i="3"/>
  <c r="O327" i="3"/>
  <c r="O53" i="3"/>
  <c r="O197" i="3"/>
  <c r="O405" i="3"/>
  <c r="O352" i="3"/>
  <c r="O280" i="3"/>
  <c r="O192" i="3"/>
  <c r="O112" i="3"/>
  <c r="O40" i="3"/>
  <c r="O115" i="3"/>
  <c r="O259" i="3"/>
  <c r="O219" i="3"/>
  <c r="O395" i="3"/>
  <c r="O233" i="3"/>
  <c r="O374" i="3"/>
  <c r="O214" i="3"/>
  <c r="O62" i="3"/>
  <c r="O359" i="3"/>
  <c r="O177" i="3"/>
  <c r="O289" i="3"/>
  <c r="O417" i="3"/>
  <c r="O354" i="3"/>
  <c r="O306" i="3"/>
  <c r="O242" i="3"/>
  <c r="O178" i="3"/>
  <c r="O122" i="3"/>
  <c r="O74" i="3"/>
  <c r="O10" i="3"/>
  <c r="O111" i="3"/>
  <c r="O223" i="3"/>
  <c r="O351" i="3"/>
  <c r="O244" i="3"/>
  <c r="O426" i="3"/>
  <c r="O20" i="3"/>
  <c r="O52" i="3"/>
  <c r="O357" i="3"/>
  <c r="O172" i="3"/>
  <c r="O107" i="3"/>
  <c r="O285" i="3"/>
  <c r="O220" i="3"/>
  <c r="O75" i="3"/>
  <c r="O213" i="3"/>
  <c r="O260" i="3"/>
  <c r="O11" i="3"/>
  <c r="O121" i="3"/>
  <c r="O382" i="3"/>
  <c r="O238" i="3"/>
  <c r="O54" i="3"/>
  <c r="O215" i="3"/>
  <c r="O375" i="3"/>
  <c r="O69" i="3"/>
  <c r="O261" i="3"/>
  <c r="O430" i="3"/>
  <c r="O328" i="3"/>
  <c r="O248" i="3"/>
  <c r="O184" i="3"/>
  <c r="O96" i="3"/>
  <c r="O8" i="3"/>
  <c r="O163" i="3"/>
  <c r="O291" i="3"/>
  <c r="O251" i="3"/>
  <c r="O9" i="3"/>
  <c r="O329" i="3"/>
  <c r="O310" i="3"/>
  <c r="O182" i="3"/>
  <c r="O46" i="3"/>
  <c r="O49" i="3"/>
  <c r="O209" i="3"/>
  <c r="O305" i="3"/>
  <c r="O410" i="3"/>
  <c r="O346" i="3"/>
  <c r="O290" i="3"/>
  <c r="O218" i="3"/>
  <c r="O170" i="3"/>
  <c r="O114" i="3"/>
  <c r="O50" i="3"/>
  <c r="O31" i="3"/>
  <c r="O127" i="3"/>
  <c r="O255" i="3"/>
  <c r="O367" i="3"/>
  <c r="N279" i="3"/>
  <c r="S337" i="3"/>
  <c r="S209" i="3"/>
  <c r="S81" i="3"/>
  <c r="N414" i="3"/>
  <c r="N380" i="3"/>
  <c r="N354" i="3"/>
  <c r="N300" i="3"/>
  <c r="N238" i="3"/>
  <c r="N188" i="3"/>
  <c r="N124" i="3"/>
  <c r="S396" i="3"/>
  <c r="S268" i="3"/>
  <c r="S140" i="3"/>
  <c r="S12" i="3"/>
  <c r="S259" i="3"/>
  <c r="O383" i="3"/>
  <c r="O175" i="3"/>
  <c r="O42" i="3"/>
  <c r="O154" i="3"/>
  <c r="O266" i="3"/>
  <c r="O394" i="3"/>
  <c r="O225" i="3"/>
  <c r="O55" i="3"/>
  <c r="O294" i="3"/>
  <c r="O41" i="3"/>
  <c r="O371" i="3"/>
  <c r="O35" i="3"/>
  <c r="O152" i="3"/>
  <c r="O312" i="3"/>
  <c r="O309" i="3"/>
  <c r="O407" i="3"/>
  <c r="O39" i="3"/>
  <c r="O358" i="3"/>
  <c r="O71" i="3"/>
  <c r="O421" i="3"/>
  <c r="O188" i="3"/>
  <c r="O347" i="3"/>
  <c r="O408" i="3"/>
  <c r="O308" i="3"/>
  <c r="S430" i="3"/>
  <c r="S51" i="3"/>
  <c r="S131" i="3"/>
  <c r="S227" i="3"/>
  <c r="S307" i="3"/>
  <c r="S387" i="3"/>
  <c r="S67" i="3"/>
  <c r="S179" i="3"/>
  <c r="S291" i="3"/>
  <c r="S419" i="3"/>
  <c r="S28" i="3"/>
  <c r="S92" i="3"/>
  <c r="S156" i="3"/>
  <c r="S220" i="3"/>
  <c r="S284" i="3"/>
  <c r="S348" i="3"/>
  <c r="S412" i="3"/>
  <c r="S33" i="3"/>
  <c r="S97" i="3"/>
  <c r="S161" i="3"/>
  <c r="S225" i="3"/>
  <c r="S289" i="3"/>
  <c r="S353" i="3"/>
  <c r="S417" i="3"/>
  <c r="S18" i="3"/>
  <c r="S82" i="3"/>
  <c r="S146" i="3"/>
  <c r="S210" i="3"/>
  <c r="S274" i="3"/>
  <c r="S338" i="3"/>
  <c r="S402" i="3"/>
  <c r="S113" i="3"/>
  <c r="S177" i="3"/>
  <c r="S305" i="3"/>
  <c r="S162" i="3"/>
  <c r="S290" i="3"/>
  <c r="S354" i="3"/>
  <c r="S99" i="3"/>
  <c r="S195" i="3"/>
  <c r="S323" i="3"/>
  <c r="S44" i="3"/>
  <c r="S108" i="3"/>
  <c r="S172" i="3"/>
  <c r="S236" i="3"/>
  <c r="S300" i="3"/>
  <c r="S364" i="3"/>
  <c r="S428" i="3"/>
  <c r="S49" i="3"/>
  <c r="S241" i="3"/>
  <c r="S369" i="3"/>
  <c r="S34" i="3"/>
  <c r="S98" i="3"/>
  <c r="S226" i="3"/>
  <c r="S418" i="3"/>
  <c r="N4" i="3"/>
  <c r="N36" i="3"/>
  <c r="N68" i="3"/>
  <c r="N100" i="3"/>
  <c r="N132" i="3"/>
  <c r="N164" i="3"/>
  <c r="N196" i="3"/>
  <c r="N224" i="3"/>
  <c r="N244" i="3"/>
  <c r="N276" i="3"/>
  <c r="N308" i="3"/>
  <c r="N340" i="3"/>
  <c r="N356" i="3"/>
  <c r="N372" i="3"/>
  <c r="N388" i="3"/>
  <c r="N406" i="3"/>
  <c r="N418" i="3"/>
  <c r="N7" i="3"/>
  <c r="N39" i="3"/>
  <c r="N71" i="3"/>
  <c r="N103" i="3"/>
  <c r="N135" i="3"/>
  <c r="N167" i="3"/>
  <c r="N199" i="3"/>
  <c r="N231" i="3"/>
  <c r="N263" i="3"/>
  <c r="N295" i="3"/>
  <c r="N327" i="3"/>
  <c r="N351" i="3"/>
  <c r="N369" i="3"/>
  <c r="N381" i="3"/>
  <c r="N399" i="3"/>
  <c r="N409" i="3"/>
  <c r="N419" i="3"/>
  <c r="N429" i="3"/>
  <c r="N15" i="3"/>
  <c r="N47" i="3"/>
  <c r="N79" i="3"/>
  <c r="N143" i="3"/>
  <c r="N175" i="3"/>
  <c r="N239" i="3"/>
  <c r="N303" i="3"/>
  <c r="N335" i="3"/>
  <c r="N431" i="3"/>
  <c r="N12" i="3"/>
  <c r="N44" i="3"/>
  <c r="N76" i="3"/>
  <c r="N108" i="3"/>
  <c r="N140" i="3"/>
  <c r="N172" i="3"/>
  <c r="N204" i="3"/>
  <c r="N228" i="3"/>
  <c r="N252" i="3"/>
  <c r="N284" i="3"/>
  <c r="N316" i="3"/>
  <c r="N344" i="3"/>
  <c r="N358" i="3"/>
  <c r="N376" i="3"/>
  <c r="N396" i="3"/>
  <c r="N410" i="3"/>
  <c r="N420" i="3"/>
  <c r="N111" i="3"/>
  <c r="N207" i="3"/>
  <c r="N271" i="3"/>
  <c r="N359" i="3"/>
  <c r="N421" i="3"/>
  <c r="N407" i="3"/>
  <c r="N389" i="3"/>
  <c r="N373" i="3"/>
  <c r="N341" i="3"/>
  <c r="N215" i="3"/>
  <c r="N151" i="3"/>
  <c r="N87" i="3"/>
  <c r="N23" i="3"/>
  <c r="S370" i="3"/>
  <c r="S242" i="3"/>
  <c r="S114" i="3"/>
  <c r="N415" i="3"/>
  <c r="N405" i="3"/>
  <c r="N383" i="3"/>
  <c r="N367" i="3"/>
  <c r="N319" i="3"/>
  <c r="N255" i="3"/>
  <c r="N191" i="3"/>
  <c r="N127" i="3"/>
  <c r="N63" i="3"/>
  <c r="S322" i="3"/>
  <c r="S194" i="3"/>
  <c r="S66" i="3"/>
  <c r="S321" i="3"/>
  <c r="S193" i="3"/>
  <c r="S65" i="3"/>
  <c r="N412" i="3"/>
  <c r="N378" i="3"/>
  <c r="N348" i="3"/>
  <c r="N292" i="3"/>
  <c r="N236" i="3"/>
  <c r="N180" i="3"/>
  <c r="N116" i="3"/>
  <c r="N52" i="3"/>
  <c r="S380" i="3"/>
  <c r="S252" i="3"/>
  <c r="S124" i="3"/>
  <c r="S243" i="3"/>
  <c r="O303" i="3"/>
  <c r="O95" i="3"/>
  <c r="O82" i="3"/>
  <c r="O202" i="3"/>
  <c r="O314" i="3"/>
  <c r="O385" i="3"/>
  <c r="O129" i="3"/>
  <c r="O110" i="3"/>
  <c r="O406" i="3"/>
  <c r="O315" i="3"/>
  <c r="O243" i="3"/>
  <c r="O48" i="3"/>
  <c r="O224" i="3"/>
  <c r="O360" i="3"/>
  <c r="O165" i="3"/>
  <c r="O279" i="3"/>
  <c r="O142" i="3"/>
  <c r="O313" i="3"/>
  <c r="O148" i="3"/>
  <c r="O77" i="3"/>
  <c r="O396" i="3"/>
  <c r="O124" i="3"/>
  <c r="O157" i="3"/>
  <c r="O43" i="3"/>
  <c r="Q46" i="3"/>
  <c r="Q92" i="3"/>
  <c r="Q128" i="3"/>
  <c r="Q174" i="3"/>
  <c r="Q220" i="3"/>
  <c r="Q256" i="3"/>
  <c r="Q302" i="3"/>
  <c r="Q348" i="3"/>
  <c r="Q384" i="3"/>
  <c r="Q430" i="3"/>
  <c r="Q66" i="3"/>
  <c r="Q322" i="3"/>
  <c r="R145" i="3"/>
  <c r="R229" i="3"/>
  <c r="P414" i="3"/>
  <c r="P382" i="3"/>
  <c r="P350" i="3"/>
  <c r="P306" i="3"/>
  <c r="P262" i="3"/>
  <c r="P222" i="3"/>
  <c r="P178" i="3"/>
  <c r="P134" i="3"/>
  <c r="P94" i="3"/>
  <c r="P50" i="3"/>
  <c r="Q210" i="3"/>
  <c r="P403" i="3"/>
  <c r="P315" i="3"/>
  <c r="P227" i="3"/>
  <c r="P135" i="3"/>
  <c r="Q425" i="3"/>
  <c r="Q405" i="3"/>
  <c r="Q383" i="3"/>
  <c r="Q361" i="3"/>
  <c r="Q341" i="3"/>
  <c r="Q319" i="3"/>
  <c r="Q297" i="3"/>
  <c r="Q277" i="3"/>
  <c r="Q255" i="3"/>
  <c r="Q233" i="3"/>
  <c r="Q213" i="3"/>
  <c r="Q191" i="3"/>
  <c r="Q169" i="3"/>
  <c r="Q149" i="3"/>
  <c r="Q127" i="3"/>
  <c r="Q105" i="3"/>
  <c r="Q85" i="3"/>
  <c r="Q63" i="3"/>
  <c r="Q41" i="3"/>
  <c r="Q21" i="3"/>
  <c r="R405" i="3"/>
  <c r="R321" i="3"/>
  <c r="R233" i="3"/>
  <c r="Q194" i="3"/>
  <c r="Q416" i="3"/>
  <c r="Q366" i="3"/>
  <c r="Q316" i="3"/>
  <c r="Q252" i="3"/>
  <c r="Q192" i="3"/>
  <c r="Q142" i="3"/>
  <c r="Q78" i="3"/>
  <c r="Q28" i="3"/>
  <c r="H439" i="3"/>
  <c r="P27" i="3"/>
  <c r="R206" i="3"/>
  <c r="R334" i="3"/>
  <c r="R13" i="3"/>
  <c r="R29" i="3"/>
  <c r="R45" i="3"/>
  <c r="R61" i="3"/>
  <c r="R77" i="3"/>
  <c r="R93" i="3"/>
  <c r="R109" i="3"/>
  <c r="R125" i="3"/>
  <c r="R141" i="3"/>
  <c r="R157" i="3"/>
  <c r="R173" i="3"/>
  <c r="R189" i="3"/>
  <c r="R205" i="3"/>
  <c r="R221" i="3"/>
  <c r="R237" i="3"/>
  <c r="R253" i="3"/>
  <c r="R269" i="3"/>
  <c r="R285" i="3"/>
  <c r="R301" i="3"/>
  <c r="R317" i="3"/>
  <c r="R333" i="3"/>
  <c r="R349" i="3"/>
  <c r="R365" i="3"/>
  <c r="R381" i="3"/>
  <c r="R397" i="3"/>
  <c r="R413" i="3"/>
  <c r="R429" i="3"/>
  <c r="R152" i="3"/>
  <c r="R280" i="3"/>
  <c r="R408" i="3"/>
  <c r="R6" i="3"/>
  <c r="R22" i="3"/>
  <c r="R38" i="3"/>
  <c r="R54" i="3"/>
  <c r="R70" i="3"/>
  <c r="R86" i="3"/>
  <c r="R102" i="3"/>
  <c r="R118" i="3"/>
  <c r="R140" i="3"/>
  <c r="R162" i="3"/>
  <c r="R182" i="3"/>
  <c r="R204" i="3"/>
  <c r="R226" i="3"/>
  <c r="R246" i="3"/>
  <c r="R268" i="3"/>
  <c r="R290" i="3"/>
  <c r="R238" i="3"/>
  <c r="R398" i="3"/>
  <c r="R5" i="3"/>
  <c r="R25" i="3"/>
  <c r="R49" i="3"/>
  <c r="R69" i="3"/>
  <c r="R89" i="3"/>
  <c r="R113" i="3"/>
  <c r="R133" i="3"/>
  <c r="R153" i="3"/>
  <c r="R177" i="3"/>
  <c r="R197" i="3"/>
  <c r="R217" i="3"/>
  <c r="R241" i="3"/>
  <c r="R261" i="3"/>
  <c r="R281" i="3"/>
  <c r="R305" i="3"/>
  <c r="R325" i="3"/>
  <c r="R345" i="3"/>
  <c r="R369" i="3"/>
  <c r="R389" i="3"/>
  <c r="R409" i="3"/>
  <c r="R426" i="3"/>
  <c r="R270" i="3"/>
  <c r="R430" i="3"/>
  <c r="R9" i="3"/>
  <c r="R33" i="3"/>
  <c r="R53" i="3"/>
  <c r="R73" i="3"/>
  <c r="R97" i="3"/>
  <c r="R117" i="3"/>
  <c r="R137" i="3"/>
  <c r="R161" i="3"/>
  <c r="R181" i="3"/>
  <c r="R201" i="3"/>
  <c r="R225" i="3"/>
  <c r="R245" i="3"/>
  <c r="R265" i="3"/>
  <c r="R289" i="3"/>
  <c r="R309" i="3"/>
  <c r="R329" i="3"/>
  <c r="R353" i="3"/>
  <c r="R373" i="3"/>
  <c r="R393" i="3"/>
  <c r="R417" i="3"/>
  <c r="R184" i="3"/>
  <c r="R344" i="3"/>
  <c r="R26" i="3"/>
  <c r="R46" i="3"/>
  <c r="R66" i="3"/>
  <c r="R90" i="3"/>
  <c r="R110" i="3"/>
  <c r="R134" i="3"/>
  <c r="R166" i="3"/>
  <c r="R194" i="3"/>
  <c r="R220" i="3"/>
  <c r="R252" i="3"/>
  <c r="R278" i="3"/>
  <c r="R306" i="3"/>
  <c r="R326" i="3"/>
  <c r="R348" i="3"/>
  <c r="R370" i="3"/>
  <c r="R390" i="3"/>
  <c r="R412" i="3"/>
  <c r="P420" i="3"/>
  <c r="P404" i="3"/>
  <c r="P388" i="3"/>
  <c r="P372" i="3"/>
  <c r="P356" i="3"/>
  <c r="P340" i="3"/>
  <c r="P324" i="3"/>
  <c r="P308" i="3"/>
  <c r="P292" i="3"/>
  <c r="P276" i="3"/>
  <c r="P260" i="3"/>
  <c r="P244" i="3"/>
  <c r="P228" i="3"/>
  <c r="P212" i="3"/>
  <c r="P196" i="3"/>
  <c r="P180" i="3"/>
  <c r="P164" i="3"/>
  <c r="P148" i="3"/>
  <c r="P132" i="3"/>
  <c r="P116" i="3"/>
  <c r="P100" i="3"/>
  <c r="P84" i="3"/>
  <c r="P68" i="3"/>
  <c r="P52" i="3"/>
  <c r="P36" i="3"/>
  <c r="P20" i="3"/>
  <c r="P425" i="3"/>
  <c r="R416" i="3"/>
  <c r="R394" i="3"/>
  <c r="R372" i="3"/>
  <c r="R352" i="3"/>
  <c r="R330" i="3"/>
  <c r="R308" i="3"/>
  <c r="R288" i="3"/>
  <c r="R266" i="3"/>
  <c r="R244" i="3"/>
  <c r="R224" i="3"/>
  <c r="R202" i="3"/>
  <c r="R180" i="3"/>
  <c r="R160" i="3"/>
  <c r="R138" i="3"/>
  <c r="R116" i="3"/>
  <c r="R100" i="3"/>
  <c r="R84" i="3"/>
  <c r="R68" i="3"/>
  <c r="R52" i="3"/>
  <c r="R36" i="3"/>
  <c r="R20" i="3"/>
  <c r="R4" i="3"/>
  <c r="R392" i="3"/>
  <c r="R264" i="3"/>
  <c r="R136" i="3"/>
  <c r="P429" i="3"/>
  <c r="P411" i="3"/>
  <c r="P393" i="3"/>
  <c r="P377" i="3"/>
  <c r="P361" i="3"/>
  <c r="P343" i="3"/>
  <c r="P325" i="3"/>
  <c r="P309" i="3"/>
  <c r="P293" i="3"/>
  <c r="P277" i="3"/>
  <c r="P259" i="3"/>
  <c r="P243" i="3"/>
  <c r="P225" i="3"/>
  <c r="P209" i="3"/>
  <c r="P193" i="3"/>
  <c r="P177" i="3"/>
  <c r="P159" i="3"/>
  <c r="P141" i="3"/>
  <c r="P125" i="3"/>
  <c r="P109" i="3"/>
  <c r="P93" i="3"/>
  <c r="P75" i="3"/>
  <c r="P57" i="3"/>
  <c r="P41" i="3"/>
  <c r="P25" i="3"/>
  <c r="P7" i="3"/>
  <c r="R431" i="3"/>
  <c r="R415" i="3"/>
  <c r="R399" i="3"/>
  <c r="R383" i="3"/>
  <c r="R367" i="3"/>
  <c r="R351" i="3"/>
  <c r="R335" i="3"/>
  <c r="R319" i="3"/>
  <c r="R303" i="3"/>
  <c r="R287" i="3"/>
  <c r="R271" i="3"/>
  <c r="R255" i="3"/>
  <c r="R239" i="3"/>
  <c r="R223" i="3"/>
  <c r="R207" i="3"/>
  <c r="R191" i="3"/>
  <c r="R175" i="3"/>
  <c r="R159" i="3"/>
  <c r="R143" i="3"/>
  <c r="R127" i="3"/>
  <c r="R111" i="3"/>
  <c r="R95" i="3"/>
  <c r="R79" i="3"/>
  <c r="R63" i="3"/>
  <c r="R47" i="3"/>
  <c r="R31" i="3"/>
  <c r="R15" i="3"/>
  <c r="R350" i="3"/>
  <c r="R222" i="3"/>
  <c r="P422" i="3"/>
  <c r="P406" i="3"/>
  <c r="P390" i="3"/>
  <c r="P374" i="3"/>
  <c r="P358" i="3"/>
  <c r="P338" i="3"/>
  <c r="P318" i="3"/>
  <c r="P294" i="3"/>
  <c r="P274" i="3"/>
  <c r="P254" i="3"/>
  <c r="P230" i="3"/>
  <c r="P210" i="3"/>
  <c r="P190" i="3"/>
  <c r="P166" i="3"/>
  <c r="P146" i="3"/>
  <c r="P126" i="3"/>
  <c r="P102" i="3"/>
  <c r="P82" i="3"/>
  <c r="P62" i="3"/>
  <c r="P38" i="3"/>
  <c r="P18" i="3"/>
  <c r="P169" i="3"/>
  <c r="R406" i="3"/>
  <c r="R380" i="3"/>
  <c r="R354" i="3"/>
  <c r="R322" i="3"/>
  <c r="R294" i="3"/>
  <c r="R258" i="3"/>
  <c r="R214" i="3"/>
  <c r="R178" i="3"/>
  <c r="R146" i="3"/>
  <c r="R106" i="3"/>
  <c r="R78" i="3"/>
  <c r="R50" i="3"/>
  <c r="R18" i="3"/>
  <c r="R248" i="3"/>
  <c r="P431" i="3"/>
  <c r="P383" i="3"/>
  <c r="P337" i="3"/>
  <c r="P295" i="3"/>
  <c r="P249" i="3"/>
  <c r="P203" i="3"/>
  <c r="P161" i="3"/>
  <c r="P115" i="3"/>
  <c r="P67" i="3"/>
  <c r="R425" i="3"/>
  <c r="R385" i="3"/>
  <c r="R341" i="3"/>
  <c r="R297" i="3"/>
  <c r="R257" i="3"/>
  <c r="R213" i="3"/>
  <c r="R169" i="3"/>
  <c r="R129" i="3"/>
  <c r="R85" i="3"/>
  <c r="R41" i="3"/>
  <c r="R174" i="3"/>
  <c r="P4" i="3"/>
  <c r="P5" i="3"/>
  <c r="P23" i="3"/>
  <c r="P39" i="3"/>
  <c r="P55" i="3"/>
  <c r="P71" i="3"/>
  <c r="P91" i="3"/>
  <c r="P107" i="3"/>
  <c r="P123" i="3"/>
  <c r="P139" i="3"/>
  <c r="P157" i="3"/>
  <c r="P175" i="3"/>
  <c r="P191" i="3"/>
  <c r="P207" i="3"/>
  <c r="P223" i="3"/>
  <c r="P241" i="3"/>
  <c r="P257" i="3"/>
  <c r="P275" i="3"/>
  <c r="P291" i="3"/>
  <c r="P307" i="3"/>
  <c r="P323" i="3"/>
  <c r="P341" i="3"/>
  <c r="P359" i="3"/>
  <c r="P375" i="3"/>
  <c r="P391" i="3"/>
  <c r="P407" i="3"/>
  <c r="P427" i="3"/>
  <c r="P15" i="3"/>
  <c r="P35" i="3"/>
  <c r="P59" i="3"/>
  <c r="P81" i="3"/>
  <c r="P103" i="3"/>
  <c r="P127" i="3"/>
  <c r="P147" i="3"/>
  <c r="P171" i="3"/>
  <c r="P195" i="3"/>
  <c r="P215" i="3"/>
  <c r="P237" i="3"/>
  <c r="P261" i="3"/>
  <c r="P283" i="3"/>
  <c r="P303" i="3"/>
  <c r="P327" i="3"/>
  <c r="P351" i="3"/>
  <c r="P371" i="3"/>
  <c r="P395" i="3"/>
  <c r="P417" i="3"/>
  <c r="P153" i="3"/>
  <c r="P19" i="3"/>
  <c r="P43" i="3"/>
  <c r="P63" i="3"/>
  <c r="P85" i="3"/>
  <c r="P111" i="3"/>
  <c r="P131" i="3"/>
  <c r="P151" i="3"/>
  <c r="P179" i="3"/>
  <c r="P199" i="3"/>
  <c r="P219" i="3"/>
  <c r="P245" i="3"/>
  <c r="P267" i="3"/>
  <c r="P287" i="3"/>
  <c r="P311" i="3"/>
  <c r="P333" i="3"/>
  <c r="P355" i="3"/>
  <c r="P379" i="3"/>
  <c r="P399" i="3"/>
  <c r="P421" i="3"/>
  <c r="P9" i="3"/>
  <c r="P10" i="3"/>
  <c r="P26" i="3"/>
  <c r="P42" i="3"/>
  <c r="P58" i="3"/>
  <c r="P74" i="3"/>
  <c r="P90" i="3"/>
  <c r="P106" i="3"/>
  <c r="P122" i="3"/>
  <c r="P138" i="3"/>
  <c r="P154" i="3"/>
  <c r="P170" i="3"/>
  <c r="P186" i="3"/>
  <c r="P202" i="3"/>
  <c r="P218" i="3"/>
  <c r="P234" i="3"/>
  <c r="P250" i="3"/>
  <c r="P266" i="3"/>
  <c r="P282" i="3"/>
  <c r="P298" i="3"/>
  <c r="P314" i="3"/>
  <c r="P330" i="3"/>
  <c r="P346" i="3"/>
  <c r="P416" i="3"/>
  <c r="P400" i="3"/>
  <c r="P384" i="3"/>
  <c r="P368" i="3"/>
  <c r="P352" i="3"/>
  <c r="P336" i="3"/>
  <c r="P320" i="3"/>
  <c r="P304" i="3"/>
  <c r="P288" i="3"/>
  <c r="P272" i="3"/>
  <c r="P256" i="3"/>
  <c r="P240" i="3"/>
  <c r="P224" i="3"/>
  <c r="P208" i="3"/>
  <c r="P192" i="3"/>
  <c r="P176" i="3"/>
  <c r="P160" i="3"/>
  <c r="P144" i="3"/>
  <c r="P128" i="3"/>
  <c r="P112" i="3"/>
  <c r="P96" i="3"/>
  <c r="P80" i="3"/>
  <c r="P64" i="3"/>
  <c r="P48" i="3"/>
  <c r="P32" i="3"/>
  <c r="P16" i="3"/>
  <c r="P265" i="3"/>
  <c r="R410" i="3"/>
  <c r="R388" i="3"/>
  <c r="R368" i="3"/>
  <c r="R346" i="3"/>
  <c r="R324" i="3"/>
  <c r="R304" i="3"/>
  <c r="R282" i="3"/>
  <c r="R260" i="3"/>
  <c r="R240" i="3"/>
  <c r="R218" i="3"/>
  <c r="R196" i="3"/>
  <c r="R176" i="3"/>
  <c r="R154" i="3"/>
  <c r="R132" i="3"/>
  <c r="R112" i="3"/>
  <c r="R96" i="3"/>
  <c r="R80" i="3"/>
  <c r="R64" i="3"/>
  <c r="R48" i="3"/>
  <c r="R32" i="3"/>
  <c r="R16" i="3"/>
  <c r="R360" i="3"/>
  <c r="R232" i="3"/>
  <c r="P423" i="3"/>
  <c r="P405" i="3"/>
  <c r="P389" i="3"/>
  <c r="P373" i="3"/>
  <c r="P357" i="3"/>
  <c r="P339" i="3"/>
  <c r="P321" i="3"/>
  <c r="P305" i="3"/>
  <c r="P289" i="3"/>
  <c r="P273" i="3"/>
  <c r="P255" i="3"/>
  <c r="P239" i="3"/>
  <c r="P221" i="3"/>
  <c r="P205" i="3"/>
  <c r="P189" i="3"/>
  <c r="P173" i="3"/>
  <c r="P155" i="3"/>
  <c r="P137" i="3"/>
  <c r="P121" i="3"/>
  <c r="P105" i="3"/>
  <c r="P87" i="3"/>
  <c r="P69" i="3"/>
  <c r="P53" i="3"/>
  <c r="P37" i="3"/>
  <c r="P21" i="3"/>
  <c r="P409" i="3"/>
  <c r="R427" i="3"/>
  <c r="R411" i="3"/>
  <c r="R395" i="3"/>
  <c r="R379" i="3"/>
  <c r="R363" i="3"/>
  <c r="R347" i="3"/>
  <c r="R331" i="3"/>
  <c r="R315" i="3"/>
  <c r="R299" i="3"/>
  <c r="R283" i="3"/>
  <c r="R267" i="3"/>
  <c r="R251" i="3"/>
  <c r="R235" i="3"/>
  <c r="R219" i="3"/>
  <c r="R203" i="3"/>
  <c r="R187" i="3"/>
  <c r="R171" i="3"/>
  <c r="R155" i="3"/>
  <c r="R139" i="3"/>
  <c r="R123" i="3"/>
  <c r="R107" i="3"/>
  <c r="R91" i="3"/>
  <c r="R75" i="3"/>
  <c r="R59" i="3"/>
  <c r="R43" i="3"/>
  <c r="R27" i="3"/>
  <c r="R11" i="3"/>
  <c r="R318" i="3"/>
  <c r="R190" i="3"/>
  <c r="P418" i="3"/>
  <c r="P402" i="3"/>
  <c r="P386" i="3"/>
  <c r="P370" i="3"/>
  <c r="P354" i="3"/>
  <c r="P334" i="3"/>
  <c r="P310" i="3"/>
  <c r="P290" i="3"/>
  <c r="P270" i="3"/>
  <c r="P246" i="3"/>
  <c r="P226" i="3"/>
  <c r="P206" i="3"/>
  <c r="P182" i="3"/>
  <c r="P162" i="3"/>
  <c r="P142" i="3"/>
  <c r="P118" i="3"/>
  <c r="P98" i="3"/>
  <c r="P78" i="3"/>
  <c r="P54" i="3"/>
  <c r="P34" i="3"/>
  <c r="P14" i="3"/>
  <c r="R428" i="3"/>
  <c r="R402" i="3"/>
  <c r="R374" i="3"/>
  <c r="R342" i="3"/>
  <c r="R316" i="3"/>
  <c r="R284" i="3"/>
  <c r="R242" i="3"/>
  <c r="R210" i="3"/>
  <c r="R172" i="3"/>
  <c r="R130" i="3"/>
  <c r="R98" i="3"/>
  <c r="R74" i="3"/>
  <c r="R42" i="3"/>
  <c r="R14" i="3"/>
  <c r="R216" i="3"/>
  <c r="P413" i="3"/>
  <c r="P367" i="3"/>
  <c r="P319" i="3"/>
  <c r="P279" i="3"/>
  <c r="P231" i="3"/>
  <c r="P187" i="3"/>
  <c r="P143" i="3"/>
  <c r="P99" i="3"/>
  <c r="P51" i="3"/>
  <c r="P11" i="3"/>
  <c r="R421" i="3"/>
  <c r="R377" i="3"/>
  <c r="R337" i="3"/>
  <c r="R293" i="3"/>
  <c r="R249" i="3"/>
  <c r="R209" i="3"/>
  <c r="R165" i="3"/>
  <c r="R121" i="3"/>
  <c r="R81" i="3"/>
  <c r="R37" i="3"/>
  <c r="R142" i="3"/>
  <c r="O423" i="3"/>
  <c r="O91" i="3"/>
  <c r="O339" i="3"/>
  <c r="O212" i="3"/>
  <c r="O397" i="3"/>
  <c r="O109" i="3"/>
  <c r="O145" i="3"/>
  <c r="O158" i="3"/>
  <c r="O65" i="3"/>
  <c r="O253" i="3"/>
  <c r="O428" i="3"/>
  <c r="O332" i="3"/>
  <c r="O204" i="3"/>
  <c r="O92" i="3"/>
  <c r="O59" i="3"/>
  <c r="O274" i="3"/>
  <c r="O173" i="3"/>
  <c r="O381" i="3"/>
  <c r="O370" i="3"/>
  <c r="O252" i="3"/>
  <c r="O140" i="3"/>
  <c r="O28" i="3"/>
  <c r="O203" i="3"/>
  <c r="O125" i="3"/>
  <c r="O321" i="3"/>
  <c r="O404" i="3"/>
  <c r="O292" i="3"/>
  <c r="O164" i="3"/>
  <c r="O68" i="3"/>
  <c r="O123" i="3"/>
  <c r="O25" i="3"/>
  <c r="O153" i="3"/>
  <c r="O281" i="3"/>
  <c r="O414" i="3"/>
  <c r="O350" i="3"/>
  <c r="O270" i="3"/>
  <c r="O198" i="3"/>
  <c r="O126" i="3"/>
  <c r="O38" i="3"/>
  <c r="O103" i="3"/>
  <c r="O183" i="3"/>
  <c r="O247" i="3"/>
  <c r="O311" i="3"/>
  <c r="O391" i="3"/>
  <c r="O21" i="3"/>
  <c r="O85" i="3"/>
  <c r="O149" i="3"/>
  <c r="O229" i="3"/>
  <c r="O293" i="3"/>
  <c r="O373" i="3"/>
  <c r="O400" i="3"/>
  <c r="O368" i="3"/>
  <c r="O336" i="3"/>
  <c r="O304" i="3"/>
  <c r="O272" i="3"/>
  <c r="O240" i="3"/>
  <c r="O208" i="3"/>
  <c r="O176" i="3"/>
  <c r="O136" i="3"/>
  <c r="O104" i="3"/>
  <c r="O64" i="3"/>
  <c r="O32" i="3"/>
  <c r="O19" i="3"/>
  <c r="O83" i="3"/>
  <c r="O147" i="3"/>
  <c r="O211" i="3"/>
  <c r="O275" i="3"/>
  <c r="O355" i="3"/>
  <c r="O419" i="3"/>
  <c r="O267" i="3"/>
  <c r="O331" i="3"/>
  <c r="O411" i="3"/>
  <c r="O105" i="3"/>
  <c r="O265" i="3"/>
  <c r="O377" i="3"/>
  <c r="O390" i="3"/>
  <c r="O326" i="3"/>
  <c r="O262" i="3"/>
  <c r="O206" i="3"/>
  <c r="O134" i="3"/>
  <c r="O78" i="3"/>
  <c r="O14" i="3"/>
  <c r="O135" i="3"/>
  <c r="S403" i="3"/>
  <c r="S339" i="3"/>
  <c r="S275" i="3"/>
  <c r="S211" i="3"/>
  <c r="S147" i="3"/>
  <c r="S83" i="3"/>
  <c r="S19" i="3"/>
  <c r="O399" i="3"/>
  <c r="O335" i="3"/>
  <c r="O271" i="3"/>
  <c r="O207" i="3"/>
  <c r="O143" i="3"/>
  <c r="O79" i="3"/>
  <c r="O15" i="3"/>
  <c r="O34" i="3"/>
  <c r="O66" i="3"/>
  <c r="O98" i="3"/>
  <c r="O130" i="3"/>
  <c r="O162" i="3"/>
  <c r="O194" i="3"/>
  <c r="O226" i="3"/>
  <c r="O258" i="3"/>
  <c r="O298" i="3"/>
  <c r="O330" i="3"/>
  <c r="O362" i="3"/>
  <c r="O402" i="3"/>
  <c r="O401" i="3"/>
  <c r="O337" i="3"/>
  <c r="O257" i="3"/>
  <c r="O193" i="3"/>
  <c r="O97" i="3"/>
  <c r="O17" i="3"/>
  <c r="O23" i="3"/>
  <c r="O94" i="3"/>
  <c r="O166" i="3"/>
  <c r="O246" i="3"/>
  <c r="O342" i="3"/>
  <c r="O422" i="3"/>
  <c r="O297" i="3"/>
  <c r="O73" i="3"/>
  <c r="O379" i="3"/>
  <c r="O283" i="3"/>
  <c r="O403" i="3"/>
  <c r="O307" i="3"/>
  <c r="O227" i="3"/>
  <c r="O131" i="3"/>
  <c r="O51" i="3"/>
  <c r="O24" i="3"/>
  <c r="O80" i="3"/>
  <c r="O120" i="3"/>
  <c r="O168" i="3"/>
  <c r="O216" i="3"/>
  <c r="O256" i="3"/>
  <c r="O296" i="3"/>
  <c r="O344" i="3"/>
  <c r="O384" i="3"/>
  <c r="O389" i="3"/>
  <c r="O277" i="3"/>
  <c r="O181" i="3"/>
  <c r="O101" i="3"/>
  <c r="O5" i="3"/>
  <c r="O343" i="3"/>
  <c r="O263" i="3"/>
  <c r="O167" i="3"/>
  <c r="O6" i="3"/>
  <c r="O102" i="3"/>
  <c r="O222" i="3"/>
  <c r="O302" i="3"/>
  <c r="O398" i="3"/>
  <c r="O249" i="3"/>
  <c r="O89" i="3"/>
  <c r="O187" i="3"/>
  <c r="O84" i="3"/>
  <c r="O228" i="3"/>
  <c r="O372" i="3"/>
  <c r="O269" i="3"/>
  <c r="O29" i="3"/>
  <c r="O27" i="3"/>
  <c r="O160" i="3"/>
  <c r="O316" i="3"/>
  <c r="O424" i="3"/>
  <c r="O141" i="3"/>
  <c r="O171" i="3"/>
  <c r="O70" i="3"/>
  <c r="O236" i="3"/>
  <c r="O380" i="3"/>
  <c r="O317" i="3"/>
  <c r="O13" i="3"/>
  <c r="O388" i="3"/>
  <c r="O301" i="3"/>
  <c r="O189" i="3"/>
  <c r="O72" i="3"/>
  <c r="O334" i="3"/>
  <c r="O61" i="3"/>
  <c r="I439" i="3"/>
  <c r="J439" i="3"/>
  <c r="G439" i="3"/>
  <c r="N357" i="3"/>
  <c r="N325" i="3"/>
  <c r="N309" i="3"/>
  <c r="N293" i="3"/>
  <c r="N277" i="3"/>
  <c r="N261" i="3"/>
  <c r="N245" i="3"/>
  <c r="N229" i="3"/>
  <c r="N213" i="3"/>
  <c r="N205" i="3"/>
  <c r="N189" i="3"/>
  <c r="N173" i="3"/>
  <c r="N157" i="3"/>
  <c r="N141" i="3"/>
  <c r="N125" i="3"/>
  <c r="N109" i="3"/>
  <c r="N93" i="3"/>
  <c r="N77" i="3"/>
  <c r="N61" i="3"/>
  <c r="N45" i="3"/>
  <c r="N29" i="3"/>
  <c r="N13" i="3"/>
  <c r="S414" i="3"/>
  <c r="S382" i="3"/>
  <c r="S350" i="3"/>
  <c r="S318" i="3"/>
  <c r="S286" i="3"/>
  <c r="S254" i="3"/>
  <c r="S222" i="3"/>
  <c r="S206" i="3"/>
  <c r="S174" i="3"/>
  <c r="S142" i="3"/>
  <c r="S110" i="3"/>
  <c r="S94" i="3"/>
  <c r="S62" i="3"/>
  <c r="S46" i="3"/>
  <c r="S30" i="3"/>
  <c r="S14" i="3"/>
  <c r="S413" i="3"/>
  <c r="S381" i="3"/>
  <c r="S349" i="3"/>
  <c r="S317" i="3"/>
  <c r="S285" i="3"/>
  <c r="S253" i="3"/>
  <c r="S221" i="3"/>
  <c r="S189" i="3"/>
  <c r="S173" i="3"/>
  <c r="S141" i="3"/>
  <c r="S109" i="3"/>
  <c r="S93" i="3"/>
  <c r="S61" i="3"/>
  <c r="S45" i="3"/>
  <c r="S29" i="3"/>
  <c r="S13" i="3"/>
  <c r="N426" i="3"/>
  <c r="N394" i="3"/>
  <c r="N370" i="3"/>
  <c r="N330" i="3"/>
  <c r="N314" i="3"/>
  <c r="N298" i="3"/>
  <c r="N282" i="3"/>
  <c r="N266" i="3"/>
  <c r="N250" i="3"/>
  <c r="N234" i="3"/>
  <c r="N218" i="3"/>
  <c r="N194" i="3"/>
  <c r="N178" i="3"/>
  <c r="N162" i="3"/>
  <c r="N146" i="3"/>
  <c r="N130" i="3"/>
  <c r="N114" i="3"/>
  <c r="N98" i="3"/>
  <c r="N82" i="3"/>
  <c r="N58" i="3"/>
  <c r="N42" i="3"/>
  <c r="N26" i="3"/>
  <c r="N10" i="3"/>
  <c r="S424" i="3"/>
  <c r="S392" i="3"/>
  <c r="S360" i="3"/>
  <c r="S328" i="3"/>
  <c r="S296" i="3"/>
  <c r="S264" i="3"/>
  <c r="S232" i="3"/>
  <c r="S200" i="3"/>
  <c r="S168" i="3"/>
  <c r="S136" i="3"/>
  <c r="S104" i="3"/>
  <c r="S88" i="3"/>
  <c r="S56" i="3"/>
  <c r="S40" i="3"/>
  <c r="S24" i="3"/>
  <c r="S8" i="3"/>
  <c r="S415" i="3"/>
  <c r="S383" i="3"/>
  <c r="S351" i="3"/>
  <c r="S319" i="3"/>
  <c r="S287" i="3"/>
  <c r="S255" i="3"/>
  <c r="S223" i="3"/>
  <c r="S191" i="3"/>
  <c r="S159" i="3"/>
  <c r="S127" i="3"/>
  <c r="S95" i="3"/>
  <c r="S79" i="3"/>
  <c r="S47" i="3"/>
  <c r="S31" i="3"/>
  <c r="S15" i="3"/>
  <c r="N395" i="3"/>
  <c r="N387" i="3"/>
  <c r="N371" i="3"/>
  <c r="N363" i="3"/>
  <c r="N355" i="3"/>
  <c r="N347" i="3"/>
  <c r="N339" i="3"/>
  <c r="N331" i="3"/>
  <c r="N323" i="3"/>
  <c r="N315" i="3"/>
  <c r="N307" i="3"/>
  <c r="N299" i="3"/>
  <c r="N291" i="3"/>
  <c r="N283" i="3"/>
  <c r="N275" i="3"/>
  <c r="N267" i="3"/>
  <c r="N259" i="3"/>
  <c r="N251" i="3"/>
  <c r="N243" i="3"/>
  <c r="N235" i="3"/>
  <c r="N227" i="3"/>
  <c r="N219" i="3"/>
  <c r="N211" i="3"/>
  <c r="N203" i="3"/>
  <c r="N195" i="3"/>
  <c r="N187" i="3"/>
  <c r="N179" i="3"/>
  <c r="N171" i="3"/>
  <c r="N163" i="3"/>
  <c r="N155" i="3"/>
  <c r="N147" i="3"/>
  <c r="N139" i="3"/>
  <c r="N131" i="3"/>
  <c r="N123" i="3"/>
  <c r="N115" i="3"/>
  <c r="N107" i="3"/>
  <c r="N99" i="3"/>
  <c r="N91" i="3"/>
  <c r="N83" i="3"/>
  <c r="N75" i="3"/>
  <c r="N67" i="3"/>
  <c r="N59" i="3"/>
  <c r="N51" i="3"/>
  <c r="N43" i="3"/>
  <c r="N35" i="3"/>
  <c r="N27" i="3"/>
  <c r="N19" i="3"/>
  <c r="N11" i="3"/>
  <c r="S426" i="3"/>
  <c r="S410" i="3"/>
  <c r="S394" i="3"/>
  <c r="S378" i="3"/>
  <c r="S362" i="3"/>
  <c r="S346" i="3"/>
  <c r="S330" i="3"/>
  <c r="S314" i="3"/>
  <c r="S298" i="3"/>
  <c r="S282" i="3"/>
  <c r="S266" i="3"/>
  <c r="S250" i="3"/>
  <c r="S234" i="3"/>
  <c r="S218" i="3"/>
  <c r="S202" i="3"/>
  <c r="S186" i="3"/>
  <c r="S170" i="3"/>
  <c r="S154" i="3"/>
  <c r="S138" i="3"/>
  <c r="S122" i="3"/>
  <c r="S106" i="3"/>
  <c r="S90" i="3"/>
  <c r="S74" i="3"/>
  <c r="S58" i="3"/>
  <c r="S42" i="3"/>
  <c r="S26" i="3"/>
  <c r="S10" i="3"/>
  <c r="S425" i="3"/>
  <c r="S409" i="3"/>
  <c r="S393" i="3"/>
  <c r="S377" i="3"/>
  <c r="S361" i="3"/>
  <c r="S345" i="3"/>
  <c r="S329" i="3"/>
  <c r="S313" i="3"/>
  <c r="S297" i="3"/>
  <c r="S281" i="3"/>
  <c r="S265" i="3"/>
  <c r="S249" i="3"/>
  <c r="S233" i="3"/>
  <c r="S217" i="3"/>
  <c r="S201" i="3"/>
  <c r="S185" i="3"/>
  <c r="S169" i="3"/>
  <c r="S153" i="3"/>
  <c r="S137" i="3"/>
  <c r="S121" i="3"/>
  <c r="S105" i="3"/>
  <c r="S89" i="3"/>
  <c r="S73" i="3"/>
  <c r="S57" i="3"/>
  <c r="S41" i="3"/>
  <c r="S25" i="3"/>
  <c r="S9" i="3"/>
  <c r="N424" i="3"/>
  <c r="N416" i="3"/>
  <c r="N408" i="3"/>
  <c r="N400" i="3"/>
  <c r="N392" i="3"/>
  <c r="N384" i="3"/>
  <c r="N368" i="3"/>
  <c r="N352" i="3"/>
  <c r="N336" i="3"/>
  <c r="N328" i="3"/>
  <c r="N320" i="3"/>
  <c r="N312" i="3"/>
  <c r="N304" i="3"/>
  <c r="N296" i="3"/>
  <c r="N288" i="3"/>
  <c r="N280" i="3"/>
  <c r="N272" i="3"/>
  <c r="N264" i="3"/>
  <c r="N256" i="3"/>
  <c r="N248" i="3"/>
  <c r="N240" i="3"/>
  <c r="N232" i="3"/>
  <c r="N216" i="3"/>
  <c r="N208" i="3"/>
  <c r="N200" i="3"/>
  <c r="N192" i="3"/>
  <c r="N184" i="3"/>
  <c r="N176" i="3"/>
  <c r="N168" i="3"/>
  <c r="N160" i="3"/>
  <c r="N152" i="3"/>
  <c r="N144" i="3"/>
  <c r="N136" i="3"/>
  <c r="N128" i="3"/>
  <c r="N120" i="3"/>
  <c r="N112" i="3"/>
  <c r="N104" i="3"/>
  <c r="N96" i="3"/>
  <c r="N88" i="3"/>
  <c r="N80" i="3"/>
  <c r="N72" i="3"/>
  <c r="N64" i="3"/>
  <c r="N56" i="3"/>
  <c r="N48" i="3"/>
  <c r="N40" i="3"/>
  <c r="N32" i="3"/>
  <c r="N24" i="3"/>
  <c r="N16" i="3"/>
  <c r="N8" i="3"/>
  <c r="S420" i="3"/>
  <c r="S404" i="3"/>
  <c r="S388" i="3"/>
  <c r="S372" i="3"/>
  <c r="S356" i="3"/>
  <c r="S340" i="3"/>
  <c r="S324" i="3"/>
  <c r="S308" i="3"/>
  <c r="S292" i="3"/>
  <c r="S276" i="3"/>
  <c r="S260" i="3"/>
  <c r="S244" i="3"/>
  <c r="S228" i="3"/>
  <c r="S212" i="3"/>
  <c r="S196" i="3"/>
  <c r="S180" i="3"/>
  <c r="S164" i="3"/>
  <c r="S148" i="3"/>
  <c r="S132" i="3"/>
  <c r="S116" i="3"/>
  <c r="S100" i="3"/>
  <c r="S84" i="3"/>
  <c r="S68" i="3"/>
  <c r="S52" i="3"/>
  <c r="S36" i="3"/>
  <c r="S20" i="3"/>
  <c r="S4" i="3"/>
  <c r="S427" i="3"/>
  <c r="S411" i="3"/>
  <c r="S395" i="3"/>
  <c r="S379" i="3"/>
  <c r="S363" i="3"/>
  <c r="S347" i="3"/>
  <c r="S331" i="3"/>
  <c r="S315" i="3"/>
  <c r="S299" i="3"/>
  <c r="S283" i="3"/>
  <c r="S267" i="3"/>
  <c r="S251" i="3"/>
  <c r="S235" i="3"/>
  <c r="S219" i="3"/>
  <c r="S203" i="3"/>
  <c r="S187" i="3"/>
  <c r="S171" i="3"/>
  <c r="S155" i="3"/>
  <c r="S139" i="3"/>
  <c r="S123" i="3"/>
  <c r="S107" i="3"/>
  <c r="S91" i="3"/>
  <c r="S75" i="3"/>
  <c r="S59" i="3"/>
  <c r="S43" i="3"/>
  <c r="S27" i="3"/>
  <c r="S11" i="3"/>
  <c r="N397" i="3"/>
  <c r="N349" i="3"/>
  <c r="N333" i="3"/>
  <c r="N317" i="3"/>
  <c r="N301" i="3"/>
  <c r="N285" i="3"/>
  <c r="N269" i="3"/>
  <c r="N253" i="3"/>
  <c r="N237" i="3"/>
  <c r="N221" i="3"/>
  <c r="N197" i="3"/>
  <c r="N181" i="3"/>
  <c r="N165" i="3"/>
  <c r="N149" i="3"/>
  <c r="N133" i="3"/>
  <c r="N117" i="3"/>
  <c r="N101" i="3"/>
  <c r="N85" i="3"/>
  <c r="N69" i="3"/>
  <c r="N53" i="3"/>
  <c r="N37" i="3"/>
  <c r="N21" i="3"/>
  <c r="N5" i="3"/>
  <c r="S398" i="3"/>
  <c r="S366" i="3"/>
  <c r="S334" i="3"/>
  <c r="S302" i="3"/>
  <c r="S270" i="3"/>
  <c r="S238" i="3"/>
  <c r="S190" i="3"/>
  <c r="S158" i="3"/>
  <c r="S126" i="3"/>
  <c r="S78" i="3"/>
  <c r="S429" i="3"/>
  <c r="S397" i="3"/>
  <c r="S365" i="3"/>
  <c r="S333" i="3"/>
  <c r="S301" i="3"/>
  <c r="S269" i="3"/>
  <c r="S237" i="3"/>
  <c r="S205" i="3"/>
  <c r="S157" i="3"/>
  <c r="S125" i="3"/>
  <c r="S77" i="3"/>
  <c r="N386" i="3"/>
  <c r="N362" i="3"/>
  <c r="N346" i="3"/>
  <c r="N338" i="3"/>
  <c r="N322" i="3"/>
  <c r="N306" i="3"/>
  <c r="N290" i="3"/>
  <c r="N274" i="3"/>
  <c r="N258" i="3"/>
  <c r="N242" i="3"/>
  <c r="N226" i="3"/>
  <c r="N210" i="3"/>
  <c r="N202" i="3"/>
  <c r="N186" i="3"/>
  <c r="N170" i="3"/>
  <c r="N154" i="3"/>
  <c r="N138" i="3"/>
  <c r="N122" i="3"/>
  <c r="N106" i="3"/>
  <c r="N90" i="3"/>
  <c r="N74" i="3"/>
  <c r="N66" i="3"/>
  <c r="N50" i="3"/>
  <c r="N34" i="3"/>
  <c r="N18" i="3"/>
  <c r="S408" i="3"/>
  <c r="S376" i="3"/>
  <c r="S344" i="3"/>
  <c r="S312" i="3"/>
  <c r="S280" i="3"/>
  <c r="S248" i="3"/>
  <c r="S216" i="3"/>
  <c r="S184" i="3"/>
  <c r="S152" i="3"/>
  <c r="S120" i="3"/>
  <c r="S72" i="3"/>
  <c r="S431" i="3"/>
  <c r="S399" i="3"/>
  <c r="S367" i="3"/>
  <c r="S335" i="3"/>
  <c r="S303" i="3"/>
  <c r="S271" i="3"/>
  <c r="S239" i="3"/>
  <c r="S207" i="3"/>
  <c r="S175" i="3"/>
  <c r="S143" i="3"/>
  <c r="S111" i="3"/>
  <c r="S63" i="3"/>
  <c r="N425" i="3"/>
  <c r="N417" i="3"/>
  <c r="N401" i="3"/>
  <c r="N393" i="3"/>
  <c r="N385" i="3"/>
  <c r="N377" i="3"/>
  <c r="N361" i="3"/>
  <c r="N353" i="3"/>
  <c r="N345" i="3"/>
  <c r="N337" i="3"/>
  <c r="N329" i="3"/>
  <c r="N321" i="3"/>
  <c r="N313" i="3"/>
  <c r="N305" i="3"/>
  <c r="N297" i="3"/>
  <c r="N289" i="3"/>
  <c r="N281" i="3"/>
  <c r="N273" i="3"/>
  <c r="N265" i="3"/>
  <c r="N257" i="3"/>
  <c r="N249" i="3"/>
  <c r="N241" i="3"/>
  <c r="N233" i="3"/>
  <c r="N225" i="3"/>
  <c r="N217" i="3"/>
  <c r="N209" i="3"/>
  <c r="N201" i="3"/>
  <c r="N193" i="3"/>
  <c r="N185" i="3"/>
  <c r="N177" i="3"/>
  <c r="N169" i="3"/>
  <c r="N161" i="3"/>
  <c r="N153" i="3"/>
  <c r="N145" i="3"/>
  <c r="N137" i="3"/>
  <c r="N129" i="3"/>
  <c r="N121" i="3"/>
  <c r="N113" i="3"/>
  <c r="N105" i="3"/>
  <c r="N97" i="3"/>
  <c r="N89" i="3"/>
  <c r="N81" i="3"/>
  <c r="N73" i="3"/>
  <c r="N65" i="3"/>
  <c r="N57" i="3"/>
  <c r="N49" i="3"/>
  <c r="N41" i="3"/>
  <c r="N33" i="3"/>
  <c r="N25" i="3"/>
  <c r="N17" i="3"/>
  <c r="N9" i="3"/>
  <c r="S422" i="3"/>
  <c r="S406" i="3"/>
  <c r="S390" i="3"/>
  <c r="S374" i="3"/>
  <c r="S358" i="3"/>
  <c r="S342" i="3"/>
  <c r="S326" i="3"/>
  <c r="S310" i="3"/>
  <c r="S294" i="3"/>
  <c r="S278" i="3"/>
  <c r="S262" i="3"/>
  <c r="S246" i="3"/>
  <c r="S230" i="3"/>
  <c r="S214" i="3"/>
  <c r="S198" i="3"/>
  <c r="S182" i="3"/>
  <c r="S166" i="3"/>
  <c r="S150" i="3"/>
  <c r="S134" i="3"/>
  <c r="S118" i="3"/>
  <c r="S102" i="3"/>
  <c r="S86" i="3"/>
  <c r="S70" i="3"/>
  <c r="S54" i="3"/>
  <c r="S38" i="3"/>
  <c r="S22" i="3"/>
  <c r="S6" i="3"/>
  <c r="S421" i="3"/>
  <c r="S405" i="3"/>
  <c r="S389" i="3"/>
  <c r="S373" i="3"/>
  <c r="S357" i="3"/>
  <c r="S341" i="3"/>
  <c r="S325" i="3"/>
  <c r="S309" i="3"/>
  <c r="S293" i="3"/>
  <c r="S277" i="3"/>
  <c r="S261" i="3"/>
  <c r="S245" i="3"/>
  <c r="S229" i="3"/>
  <c r="S213" i="3"/>
  <c r="S197" i="3"/>
  <c r="S181" i="3"/>
  <c r="S165" i="3"/>
  <c r="S149" i="3"/>
  <c r="S133" i="3"/>
  <c r="S117" i="3"/>
  <c r="S101" i="3"/>
  <c r="S85" i="3"/>
  <c r="S69" i="3"/>
  <c r="S53" i="3"/>
  <c r="S37" i="3"/>
  <c r="S21" i="3"/>
  <c r="S5" i="3"/>
  <c r="N422" i="3"/>
  <c r="N398" i="3"/>
  <c r="N390" i="3"/>
  <c r="N382" i="3"/>
  <c r="N374" i="3"/>
  <c r="N366" i="3"/>
  <c r="N350" i="3"/>
  <c r="N342" i="3"/>
  <c r="N334" i="3"/>
  <c r="N326" i="3"/>
  <c r="N318" i="3"/>
  <c r="N310" i="3"/>
  <c r="N302" i="3"/>
  <c r="N294" i="3"/>
  <c r="N286" i="3"/>
  <c r="N278" i="3"/>
  <c r="N270" i="3"/>
  <c r="N262" i="3"/>
  <c r="N254" i="3"/>
  <c r="N246" i="3"/>
  <c r="N230" i="3"/>
  <c r="N222" i="3"/>
  <c r="N214" i="3"/>
  <c r="N206" i="3"/>
  <c r="N198" i="3"/>
  <c r="N190" i="3"/>
  <c r="N182" i="3"/>
  <c r="N174" i="3"/>
  <c r="N166" i="3"/>
  <c r="N158" i="3"/>
  <c r="N150" i="3"/>
  <c r="N142" i="3"/>
  <c r="N134" i="3"/>
  <c r="N126" i="3"/>
  <c r="N118" i="3"/>
  <c r="N110" i="3"/>
  <c r="N102" i="3"/>
  <c r="N94" i="3"/>
  <c r="N86" i="3"/>
  <c r="N78" i="3"/>
  <c r="N70" i="3"/>
  <c r="N62" i="3"/>
  <c r="N54" i="3"/>
  <c r="N46" i="3"/>
  <c r="N38" i="3"/>
  <c r="N30" i="3"/>
  <c r="N22" i="3"/>
  <c r="N14" i="3"/>
  <c r="S416" i="3"/>
  <c r="S400" i="3"/>
  <c r="S384" i="3"/>
  <c r="S368" i="3"/>
  <c r="S352" i="3"/>
  <c r="S336" i="3"/>
  <c r="S320" i="3"/>
  <c r="S304" i="3"/>
  <c r="S288" i="3"/>
  <c r="S272" i="3"/>
  <c r="S256" i="3"/>
  <c r="S240" i="3"/>
  <c r="S224" i="3"/>
  <c r="S208" i="3"/>
  <c r="S192" i="3"/>
  <c r="S176" i="3"/>
  <c r="S160" i="3"/>
  <c r="S144" i="3"/>
  <c r="S128" i="3"/>
  <c r="S112" i="3"/>
  <c r="S96" i="3"/>
  <c r="S80" i="3"/>
  <c r="S64" i="3"/>
  <c r="S48" i="3"/>
  <c r="S32" i="3"/>
  <c r="S16" i="3"/>
  <c r="S423" i="3"/>
  <c r="S407" i="3"/>
  <c r="S391" i="3"/>
  <c r="S375" i="3"/>
  <c r="S359" i="3"/>
  <c r="S343" i="3"/>
  <c r="S327" i="3"/>
  <c r="S311" i="3"/>
  <c r="S295" i="3"/>
  <c r="S279" i="3"/>
  <c r="S263" i="3"/>
  <c r="S247" i="3"/>
  <c r="S231" i="3"/>
  <c r="S215" i="3"/>
  <c r="S199" i="3"/>
  <c r="S183" i="3"/>
  <c r="S167" i="3"/>
  <c r="S151" i="3"/>
  <c r="S135" i="3"/>
  <c r="S119" i="3"/>
  <c r="S103" i="3"/>
  <c r="S87" i="3"/>
  <c r="S71" i="3"/>
  <c r="S55" i="3"/>
  <c r="S39" i="3"/>
  <c r="S23" i="3"/>
  <c r="S7" i="3"/>
  <c r="D439" i="3"/>
  <c r="V208" i="3"/>
  <c r="V350" i="3"/>
  <c r="V61" i="3"/>
  <c r="V408" i="3"/>
  <c r="V92" i="3"/>
  <c r="V351" i="3"/>
  <c r="V155" i="3"/>
  <c r="V234" i="3"/>
  <c r="V337" i="3"/>
  <c r="V256" i="3"/>
  <c r="V4" i="3"/>
  <c r="V306" i="3"/>
  <c r="V21" i="3"/>
  <c r="V372" i="3"/>
  <c r="V34" i="3"/>
  <c r="V416" i="3"/>
  <c r="V296" i="3"/>
  <c r="V203" i="3"/>
  <c r="V32" i="3"/>
  <c r="V407" i="3"/>
  <c r="V38" i="3"/>
  <c r="V397" i="3"/>
  <c r="V22" i="3"/>
  <c r="V265" i="3"/>
  <c r="V264" i="3"/>
  <c r="V24" i="3"/>
  <c r="V25" i="3"/>
  <c r="V191" i="3"/>
  <c r="V59" i="3"/>
  <c r="V26" i="3"/>
  <c r="V373" i="3"/>
  <c r="V113" i="3"/>
  <c r="V240" i="3"/>
  <c r="V339" i="3"/>
  <c r="V87" i="3"/>
  <c r="V358" i="3"/>
  <c r="V158" i="3"/>
  <c r="V301" i="3"/>
  <c r="V384" i="3"/>
  <c r="V175" i="3"/>
  <c r="V103" i="3"/>
  <c r="V314" i="3"/>
  <c r="V290" i="3"/>
  <c r="V210" i="3"/>
  <c r="V401" i="3"/>
  <c r="V241" i="3"/>
  <c r="V213" i="3"/>
  <c r="V69" i="3"/>
  <c r="V356" i="3"/>
  <c r="V272" i="3"/>
  <c r="V359" i="3"/>
  <c r="V283" i="3"/>
  <c r="V394" i="3"/>
  <c r="V310" i="3"/>
  <c r="V274" i="3"/>
  <c r="V65" i="3"/>
  <c r="V352" i="3"/>
  <c r="V300" i="3"/>
  <c r="V108" i="3"/>
  <c r="V366" i="3"/>
  <c r="V294" i="3"/>
  <c r="V214" i="3"/>
  <c r="V70" i="3"/>
  <c r="V377" i="3"/>
  <c r="V245" i="3"/>
  <c r="V221" i="3"/>
  <c r="V97" i="3"/>
  <c r="V420" i="3"/>
  <c r="V400" i="3"/>
  <c r="V324" i="3"/>
  <c r="V248" i="3"/>
  <c r="V60" i="3"/>
  <c r="V218" i="3"/>
  <c r="V10" i="3"/>
  <c r="V423" i="3"/>
  <c r="V369" i="3"/>
  <c r="V188" i="3"/>
  <c r="V323" i="3"/>
  <c r="V163" i="3"/>
  <c r="V119" i="3"/>
  <c r="V19" i="3"/>
  <c r="V170" i="3"/>
  <c r="V74" i="3"/>
  <c r="V104" i="3"/>
  <c r="V291" i="3"/>
  <c r="V106" i="3"/>
  <c r="V285" i="3"/>
  <c r="V125" i="3"/>
  <c r="V93" i="3"/>
  <c r="V328" i="3"/>
  <c r="V375" i="3"/>
  <c r="V231" i="3"/>
  <c r="V147" i="3"/>
  <c r="V414" i="3"/>
  <c r="V202" i="3"/>
  <c r="V138" i="3"/>
  <c r="V46" i="3"/>
  <c r="V349" i="3"/>
  <c r="V317" i="3"/>
  <c r="V257" i="3"/>
  <c r="V157" i="3"/>
  <c r="V348" i="3"/>
  <c r="V280" i="3"/>
  <c r="V136" i="3"/>
  <c r="V72" i="3"/>
  <c r="V263" i="3"/>
  <c r="V183" i="3"/>
  <c r="V250" i="3"/>
  <c r="V30" i="3"/>
  <c r="V385" i="3"/>
  <c r="V189" i="3"/>
  <c r="V216" i="3"/>
  <c r="V40" i="3"/>
  <c r="V327" i="3"/>
  <c r="V243" i="3"/>
  <c r="V151" i="3"/>
  <c r="V99" i="3"/>
  <c r="V39" i="3"/>
  <c r="V398" i="3"/>
  <c r="V282" i="3"/>
  <c r="V254" i="3"/>
  <c r="V206" i="3"/>
  <c r="V78" i="3"/>
  <c r="V14" i="3"/>
  <c r="V429" i="3"/>
  <c r="V353" i="3"/>
  <c r="V161" i="3"/>
  <c r="V45" i="3"/>
  <c r="V424" i="3"/>
  <c r="V312" i="3"/>
  <c r="V140" i="3"/>
  <c r="V391" i="3"/>
  <c r="V355" i="3"/>
  <c r="V311" i="3"/>
  <c r="V259" i="3"/>
  <c r="V227" i="3"/>
  <c r="V199" i="3"/>
  <c r="V179" i="3"/>
  <c r="V115" i="3"/>
  <c r="V83" i="3"/>
  <c r="V55" i="3"/>
  <c r="V7" i="3"/>
  <c r="V430" i="3"/>
  <c r="V410" i="3"/>
  <c r="V382" i="3"/>
  <c r="V330" i="3"/>
  <c r="V270" i="3"/>
  <c r="V238" i="3"/>
  <c r="V190" i="3"/>
  <c r="V126" i="3"/>
  <c r="V94" i="3"/>
  <c r="V42" i="3"/>
  <c r="V381" i="3"/>
  <c r="V365" i="3"/>
  <c r="V305" i="3"/>
  <c r="V273" i="3"/>
  <c r="V253" i="3"/>
  <c r="V209" i="3"/>
  <c r="V177" i="3"/>
  <c r="V145" i="3"/>
  <c r="V81" i="3"/>
  <c r="V17" i="3"/>
  <c r="V396" i="3"/>
  <c r="V380" i="3"/>
  <c r="V360" i="3"/>
  <c r="V344" i="3"/>
  <c r="V252" i="3"/>
  <c r="V236" i="3"/>
  <c r="V184" i="3"/>
  <c r="V156" i="3"/>
  <c r="V124" i="3"/>
  <c r="V12" i="3"/>
  <c r="V275" i="3"/>
  <c r="V211" i="3"/>
  <c r="V167" i="3"/>
  <c r="V131" i="3"/>
  <c r="V67" i="3"/>
  <c r="V346" i="3"/>
  <c r="V298" i="3"/>
  <c r="V222" i="3"/>
  <c r="V174" i="3"/>
  <c r="V110" i="3"/>
  <c r="V58" i="3"/>
  <c r="U438" i="3"/>
  <c r="V413" i="3"/>
  <c r="V289" i="3"/>
  <c r="V193" i="3"/>
  <c r="V129" i="3"/>
  <c r="V332" i="3"/>
  <c r="V220" i="3"/>
  <c r="V168" i="3"/>
  <c r="V76" i="3"/>
  <c r="V387" i="3"/>
  <c r="V279" i="3"/>
  <c r="V247" i="3"/>
  <c r="V215" i="3"/>
  <c r="V195" i="3"/>
  <c r="V135" i="3"/>
  <c r="V71" i="3"/>
  <c r="V51" i="3"/>
  <c r="V318" i="3"/>
  <c r="V302" i="3"/>
  <c r="V286" i="3"/>
  <c r="V266" i="3"/>
  <c r="V186" i="3"/>
  <c r="V154" i="3"/>
  <c r="V122" i="3"/>
  <c r="V90" i="3"/>
  <c r="V62" i="3"/>
  <c r="V417" i="3"/>
  <c r="V269" i="3"/>
  <c r="V225" i="3"/>
  <c r="V205" i="3"/>
  <c r="V173" i="3"/>
  <c r="V141" i="3"/>
  <c r="V77" i="3"/>
  <c r="V49" i="3"/>
  <c r="V13" i="3"/>
  <c r="V428" i="3"/>
  <c r="V392" i="3"/>
  <c r="V376" i="3"/>
  <c r="V316" i="3"/>
  <c r="V268" i="3"/>
  <c r="V232" i="3"/>
  <c r="V204" i="3"/>
  <c r="V172" i="3"/>
  <c r="V152" i="3"/>
  <c r="V120" i="3"/>
  <c r="V88" i="3"/>
  <c r="V56" i="3"/>
  <c r="V8" i="3"/>
  <c r="U435" i="3"/>
  <c r="V411" i="3"/>
  <c r="V331" i="3"/>
  <c r="V315" i="3"/>
  <c r="V299" i="3"/>
  <c r="V267" i="3"/>
  <c r="V251" i="3"/>
  <c r="V235" i="3"/>
  <c r="V219" i="3"/>
  <c r="V187" i="3"/>
  <c r="V171" i="3"/>
  <c r="V139" i="3"/>
  <c r="V123" i="3"/>
  <c r="V107" i="3"/>
  <c r="V91" i="3"/>
  <c r="V75" i="3"/>
  <c r="V43" i="3"/>
  <c r="V11" i="3"/>
  <c r="V386" i="3"/>
  <c r="V370" i="3"/>
  <c r="V354" i="3"/>
  <c r="V338" i="3"/>
  <c r="V322" i="3"/>
  <c r="V258" i="3"/>
  <c r="V242" i="3"/>
  <c r="V226" i="3"/>
  <c r="V194" i="3"/>
  <c r="V178" i="3"/>
  <c r="V162" i="3"/>
  <c r="V146" i="3"/>
  <c r="V130" i="3"/>
  <c r="V114" i="3"/>
  <c r="V98" i="3"/>
  <c r="V82" i="3"/>
  <c r="V66" i="3"/>
  <c r="V50" i="3"/>
  <c r="V18" i="3"/>
  <c r="V405" i="3"/>
  <c r="V389" i="3"/>
  <c r="V341" i="3"/>
  <c r="V325" i="3"/>
  <c r="V309" i="3"/>
  <c r="V293" i="3"/>
  <c r="V277" i="3"/>
  <c r="V261" i="3"/>
  <c r="V229" i="3"/>
  <c r="V197" i="3"/>
  <c r="V181" i="3"/>
  <c r="V165" i="3"/>
  <c r="V149" i="3"/>
  <c r="V133" i="3"/>
  <c r="V117" i="3"/>
  <c r="V101" i="3"/>
  <c r="V85" i="3"/>
  <c r="V53" i="3"/>
  <c r="V5" i="3"/>
  <c r="V368" i="3"/>
  <c r="V336" i="3"/>
  <c r="V320" i="3"/>
  <c r="V304" i="3"/>
  <c r="V288" i="3"/>
  <c r="V224" i="3"/>
  <c r="V192" i="3"/>
  <c r="V176" i="3"/>
  <c r="V144" i="3"/>
  <c r="V128" i="3"/>
  <c r="V112" i="3"/>
  <c r="V96" i="3"/>
  <c r="V80" i="3"/>
  <c r="V64" i="3"/>
  <c r="V48" i="3"/>
  <c r="V16" i="3"/>
  <c r="U434" i="3"/>
  <c r="V431" i="3"/>
  <c r="V415" i="3"/>
  <c r="V399" i="3"/>
  <c r="V383" i="3"/>
  <c r="V319" i="3"/>
  <c r="V303" i="3"/>
  <c r="V287" i="3"/>
  <c r="V271" i="3"/>
  <c r="V255" i="3"/>
  <c r="V239" i="3"/>
  <c r="V223" i="3"/>
  <c r="V207" i="3"/>
  <c r="V127" i="3"/>
  <c r="V111" i="3"/>
  <c r="V95" i="3"/>
  <c r="V79" i="3"/>
  <c r="V63" i="3"/>
  <c r="V47" i="3"/>
  <c r="V15" i="3"/>
  <c r="V422" i="3"/>
  <c r="V406" i="3"/>
  <c r="V390" i="3"/>
  <c r="V374" i="3"/>
  <c r="V342" i="3"/>
  <c r="V326" i="3"/>
  <c r="V278" i="3"/>
  <c r="V262" i="3"/>
  <c r="V246" i="3"/>
  <c r="V230" i="3"/>
  <c r="V198" i="3"/>
  <c r="V182" i="3"/>
  <c r="V166" i="3"/>
  <c r="V150" i="3"/>
  <c r="V134" i="3"/>
  <c r="V118" i="3"/>
  <c r="V102" i="3"/>
  <c r="V86" i="3"/>
  <c r="V54" i="3"/>
  <c r="V6" i="3"/>
  <c r="V361" i="3"/>
  <c r="V345" i="3"/>
  <c r="V329" i="3"/>
  <c r="V313" i="3"/>
  <c r="V297" i="3"/>
  <c r="V281" i="3"/>
  <c r="V249" i="3"/>
  <c r="V217" i="3"/>
  <c r="V201" i="3"/>
  <c r="V185" i="3"/>
  <c r="V169" i="3"/>
  <c r="V153" i="3"/>
  <c r="V137" i="3"/>
  <c r="V121" i="3"/>
  <c r="V105" i="3"/>
  <c r="V89" i="3"/>
  <c r="V73" i="3"/>
  <c r="V57" i="3"/>
  <c r="V41" i="3"/>
  <c r="V9" i="3"/>
  <c r="V404" i="3"/>
  <c r="V292" i="3"/>
  <c r="V276" i="3"/>
  <c r="V260" i="3"/>
  <c r="V228" i="3"/>
  <c r="V212" i="3"/>
  <c r="V196" i="3"/>
  <c r="V180" i="3"/>
  <c r="V164" i="3"/>
  <c r="V148" i="3"/>
  <c r="V132" i="3"/>
  <c r="V116" i="3"/>
  <c r="V100" i="3"/>
  <c r="V84" i="3"/>
  <c r="V68" i="3"/>
  <c r="V52" i="3"/>
  <c r="U436" i="3"/>
  <c r="U437" i="3"/>
  <c r="M436" i="3"/>
  <c r="M435" i="3"/>
  <c r="M437" i="3"/>
  <c r="M438" i="3"/>
  <c r="M434" i="3"/>
  <c r="T438" i="3" l="1"/>
  <c r="S438" i="3"/>
  <c r="T435" i="3"/>
  <c r="T434" i="3"/>
  <c r="T437" i="3"/>
  <c r="T436" i="3"/>
  <c r="O437" i="3"/>
  <c r="P437" i="3"/>
  <c r="Q435" i="3"/>
  <c r="N436" i="3"/>
  <c r="Q437" i="3"/>
  <c r="Q438" i="3"/>
  <c r="Q436" i="3"/>
  <c r="O436" i="3"/>
  <c r="S437" i="3"/>
  <c r="O435" i="3"/>
  <c r="R438" i="3"/>
  <c r="P434" i="3"/>
  <c r="Q434" i="3"/>
  <c r="R435" i="3"/>
  <c r="R436" i="3"/>
  <c r="P435" i="3"/>
  <c r="O438" i="3"/>
  <c r="R437" i="3"/>
  <c r="P438" i="3"/>
  <c r="R434" i="3"/>
  <c r="N434" i="3"/>
  <c r="S434" i="3"/>
  <c r="P436" i="3"/>
  <c r="O434" i="3"/>
  <c r="S435" i="3"/>
  <c r="N435" i="3"/>
  <c r="N437" i="3"/>
  <c r="S436" i="3"/>
  <c r="N438" i="3"/>
  <c r="U439" i="3"/>
  <c r="AE410" i="3" s="1"/>
  <c r="M439" i="3"/>
  <c r="W5" i="3" s="1"/>
  <c r="T439" i="3" l="1"/>
  <c r="AD68" i="3" s="1"/>
  <c r="Q439" i="3"/>
  <c r="AA278" i="3" s="1"/>
  <c r="P439" i="3"/>
  <c r="Z308" i="3" s="1"/>
  <c r="S439" i="3"/>
  <c r="AC60" i="3" s="1"/>
  <c r="R439" i="3"/>
  <c r="AB272" i="3" s="1"/>
  <c r="N439" i="3"/>
  <c r="X388" i="3" s="1"/>
  <c r="O439" i="3"/>
  <c r="Y225" i="3" s="1"/>
  <c r="AB152" i="3"/>
  <c r="AB377" i="3"/>
  <c r="AE74" i="3"/>
  <c r="AD407" i="3"/>
  <c r="AD348" i="3"/>
  <c r="AD276" i="3"/>
  <c r="AD239" i="3"/>
  <c r="AD221" i="3"/>
  <c r="AD299" i="3"/>
  <c r="AE392" i="3"/>
  <c r="AE325" i="3"/>
  <c r="AE9" i="3"/>
  <c r="AE378" i="3"/>
  <c r="AD343" i="3"/>
  <c r="AD330" i="3"/>
  <c r="AD65" i="3"/>
  <c r="AD43" i="3"/>
  <c r="AD176" i="3"/>
  <c r="AD122" i="3"/>
  <c r="AD5" i="3"/>
  <c r="AE339" i="3"/>
  <c r="AE168" i="3"/>
  <c r="AE182" i="3"/>
  <c r="AE40" i="3"/>
  <c r="W409" i="3"/>
  <c r="AD403" i="3"/>
  <c r="AD371" i="3"/>
  <c r="AD416" i="3"/>
  <c r="AD359" i="3"/>
  <c r="AD327" i="3"/>
  <c r="AD295" i="3"/>
  <c r="AD219" i="3"/>
  <c r="AD314" i="3"/>
  <c r="AD282" i="3"/>
  <c r="AD230" i="3"/>
  <c r="AD182" i="3"/>
  <c r="AD205" i="3"/>
  <c r="AD134" i="3"/>
  <c r="AD97" i="3"/>
  <c r="AD90" i="3"/>
  <c r="AD32" i="3"/>
  <c r="AD11" i="3"/>
  <c r="AD377" i="3"/>
  <c r="AD394" i="3"/>
  <c r="AD337" i="3"/>
  <c r="AD273" i="3"/>
  <c r="AD324" i="3"/>
  <c r="AD260" i="3"/>
  <c r="AD208" i="3"/>
  <c r="AD136" i="3"/>
  <c r="AD167" i="3"/>
  <c r="AD123" i="3"/>
  <c r="AD57" i="3"/>
  <c r="AD58" i="3"/>
  <c r="AD37" i="3"/>
  <c r="AD423" i="3"/>
  <c r="AD391" i="3"/>
  <c r="AD358" i="3"/>
  <c r="AD404" i="3"/>
  <c r="AD372" i="3"/>
  <c r="AD347" i="3"/>
  <c r="AD315" i="3"/>
  <c r="AD283" i="3"/>
  <c r="AD251" i="3"/>
  <c r="AD334" i="3"/>
  <c r="AD302" i="3"/>
  <c r="AD270" i="3"/>
  <c r="AD229" i="3"/>
  <c r="AD218" i="3"/>
  <c r="AD166" i="3"/>
  <c r="AD189" i="3"/>
  <c r="AD145" i="3"/>
  <c r="AD81" i="3"/>
  <c r="AD74" i="3"/>
  <c r="AD16" i="3"/>
  <c r="AD425" i="3"/>
  <c r="AD362" i="3"/>
  <c r="AD378" i="3"/>
  <c r="AD321" i="3"/>
  <c r="AD257" i="3"/>
  <c r="AD308" i="3"/>
  <c r="AD241" i="3"/>
  <c r="AD192" i="3"/>
  <c r="AD215" i="3"/>
  <c r="AD151" i="3"/>
  <c r="AD107" i="3"/>
  <c r="AD100" i="3"/>
  <c r="AD42" i="3"/>
  <c r="AE38" i="3"/>
  <c r="AE166" i="3"/>
  <c r="AE357" i="3"/>
  <c r="AE8" i="3"/>
  <c r="AE293" i="3"/>
  <c r="W417" i="3"/>
  <c r="AE57" i="3"/>
  <c r="AE122" i="3"/>
  <c r="AE193" i="3"/>
  <c r="AE322" i="3"/>
  <c r="AE85" i="3"/>
  <c r="AE179" i="3"/>
  <c r="AE308" i="3"/>
  <c r="W401" i="3"/>
  <c r="AE56" i="3"/>
  <c r="AE307" i="3"/>
  <c r="AE121" i="3"/>
  <c r="AE427" i="3"/>
  <c r="W385" i="3"/>
  <c r="AE67" i="3"/>
  <c r="AE138" i="3"/>
  <c r="AE225" i="3"/>
  <c r="AE354" i="3"/>
  <c r="AE60" i="3"/>
  <c r="AE211" i="3"/>
  <c r="AE340" i="3"/>
  <c r="W425" i="3"/>
  <c r="W393" i="3"/>
  <c r="Z244" i="3"/>
  <c r="AD17" i="3"/>
  <c r="AD33" i="3"/>
  <c r="AD6" i="3"/>
  <c r="AD22" i="3"/>
  <c r="AD38" i="3"/>
  <c r="AD54" i="3"/>
  <c r="AD64" i="3"/>
  <c r="AD80" i="3"/>
  <c r="AD96" i="3"/>
  <c r="AD49" i="3"/>
  <c r="AD71" i="3"/>
  <c r="AD87" i="3"/>
  <c r="AD103" i="3"/>
  <c r="AD119" i="3"/>
  <c r="AD135" i="3"/>
  <c r="AD114" i="3"/>
  <c r="AD146" i="3"/>
  <c r="AD163" i="3"/>
  <c r="AD179" i="3"/>
  <c r="AD195" i="3"/>
  <c r="AD211" i="3"/>
  <c r="AD128" i="3"/>
  <c r="AD156" i="3"/>
  <c r="AD172" i="3"/>
  <c r="AD188" i="3"/>
  <c r="AD204" i="3"/>
  <c r="AD220" i="3"/>
  <c r="AD236" i="3"/>
  <c r="AD233" i="3"/>
  <c r="AD256" i="3"/>
  <c r="AD272" i="3"/>
  <c r="AD288" i="3"/>
  <c r="AD304" i="3"/>
  <c r="AD320" i="3"/>
  <c r="AD336" i="3"/>
  <c r="AD231" i="3"/>
  <c r="AD253" i="3"/>
  <c r="AD269" i="3"/>
  <c r="AD285" i="3"/>
  <c r="AD301" i="3"/>
  <c r="AD317" i="3"/>
  <c r="AD333" i="3"/>
  <c r="AD349" i="3"/>
  <c r="AD352" i="3"/>
  <c r="AD374" i="3"/>
  <c r="AD390" i="3"/>
  <c r="AD406" i="3"/>
  <c r="AD422" i="3"/>
  <c r="AD354" i="3"/>
  <c r="AD373" i="3"/>
  <c r="AD389" i="3"/>
  <c r="AD405" i="3"/>
  <c r="AD421" i="3"/>
  <c r="AD7" i="3"/>
  <c r="AD23" i="3"/>
  <c r="AD39" i="3"/>
  <c r="AD12" i="3"/>
  <c r="AD28" i="3"/>
  <c r="AD44" i="3"/>
  <c r="AD60" i="3"/>
  <c r="AD70" i="3"/>
  <c r="AD86" i="3"/>
  <c r="AD102" i="3"/>
  <c r="AD61" i="3"/>
  <c r="AD77" i="3"/>
  <c r="AD93" i="3"/>
  <c r="AD109" i="3"/>
  <c r="AD125" i="3"/>
  <c r="AD141" i="3"/>
  <c r="AD126" i="3"/>
  <c r="AD153" i="3"/>
  <c r="AD169" i="3"/>
  <c r="AD185" i="3"/>
  <c r="AD201" i="3"/>
  <c r="AD217" i="3"/>
  <c r="AD140" i="3"/>
  <c r="AD162" i="3"/>
  <c r="AD178" i="3"/>
  <c r="AD194" i="3"/>
  <c r="AD210" i="3"/>
  <c r="AD226" i="3"/>
  <c r="AD242" i="3"/>
  <c r="AD246" i="3"/>
  <c r="AD262" i="3"/>
  <c r="AD278" i="3"/>
  <c r="AD294" i="3"/>
  <c r="AD310" i="3"/>
  <c r="AD326" i="3"/>
  <c r="AD342" i="3"/>
  <c r="AD243" i="3"/>
  <c r="AD259" i="3"/>
  <c r="AD275" i="3"/>
  <c r="AD291" i="3"/>
  <c r="AD307" i="3"/>
  <c r="AD323" i="3"/>
  <c r="AD339" i="3"/>
  <c r="AD355" i="3"/>
  <c r="AD364" i="3"/>
  <c r="AD380" i="3"/>
  <c r="AD396" i="3"/>
  <c r="AD412" i="3"/>
  <c r="AD428" i="3"/>
  <c r="AD367" i="3"/>
  <c r="AD383" i="3"/>
  <c r="AD399" i="3"/>
  <c r="AD415" i="3"/>
  <c r="AD431" i="3"/>
  <c r="AD25" i="3"/>
  <c r="AD14" i="3"/>
  <c r="AD46" i="3"/>
  <c r="AD72" i="3"/>
  <c r="AD104" i="3"/>
  <c r="AD79" i="3"/>
  <c r="AD111" i="3"/>
  <c r="AD143" i="3"/>
  <c r="AD155" i="3"/>
  <c r="AD187" i="3"/>
  <c r="AD112" i="3"/>
  <c r="AD164" i="3"/>
  <c r="AD196" i="3"/>
  <c r="AD228" i="3"/>
  <c r="AD248" i="3"/>
  <c r="AD280" i="3"/>
  <c r="AD312" i="3"/>
  <c r="AD344" i="3"/>
  <c r="AD245" i="3"/>
  <c r="AD277" i="3"/>
  <c r="AD309" i="3"/>
  <c r="AD341" i="3"/>
  <c r="AD366" i="3"/>
  <c r="AD398" i="3"/>
  <c r="AD430" i="3"/>
  <c r="AD381" i="3"/>
  <c r="AD413" i="3"/>
  <c r="AD15" i="3"/>
  <c r="AD47" i="3"/>
  <c r="AD36" i="3"/>
  <c r="AD62" i="3"/>
  <c r="AD94" i="3"/>
  <c r="AD69" i="3"/>
  <c r="AD101" i="3"/>
  <c r="AD133" i="3"/>
  <c r="AD142" i="3"/>
  <c r="AD177" i="3"/>
  <c r="AD209" i="3"/>
  <c r="AD154" i="3"/>
  <c r="AD186" i="3"/>
  <c r="AD13" i="3"/>
  <c r="AD29" i="3"/>
  <c r="AD45" i="3"/>
  <c r="AD18" i="3"/>
  <c r="AD34" i="3"/>
  <c r="AD50" i="3"/>
  <c r="AD59" i="3"/>
  <c r="AD76" i="3"/>
  <c r="AD92" i="3"/>
  <c r="AD108" i="3"/>
  <c r="AD67" i="3"/>
  <c r="AD83" i="3"/>
  <c r="AD99" i="3"/>
  <c r="AD115" i="3"/>
  <c r="AD131" i="3"/>
  <c r="AD147" i="3"/>
  <c r="AD138" i="3"/>
  <c r="AD159" i="3"/>
  <c r="AD175" i="3"/>
  <c r="AD191" i="3"/>
  <c r="AD207" i="3"/>
  <c r="AD120" i="3"/>
  <c r="AD152" i="3"/>
  <c r="AD168" i="3"/>
  <c r="AD184" i="3"/>
  <c r="AD200" i="3"/>
  <c r="AD216" i="3"/>
  <c r="AD232" i="3"/>
  <c r="AD225" i="3"/>
  <c r="AD252" i="3"/>
  <c r="AD268" i="3"/>
  <c r="AD284" i="3"/>
  <c r="AD300" i="3"/>
  <c r="AD316" i="3"/>
  <c r="AD332" i="3"/>
  <c r="AD223" i="3"/>
  <c r="AD249" i="3"/>
  <c r="AD265" i="3"/>
  <c r="AD281" i="3"/>
  <c r="AD297" i="3"/>
  <c r="AD313" i="3"/>
  <c r="AD329" i="3"/>
  <c r="AD345" i="3"/>
  <c r="AD361" i="3"/>
  <c r="AD370" i="3"/>
  <c r="AD386" i="3"/>
  <c r="AD402" i="3"/>
  <c r="AD418" i="3"/>
  <c r="AD346" i="3"/>
  <c r="AD369" i="3"/>
  <c r="AD385" i="3"/>
  <c r="AD401" i="3"/>
  <c r="AD417" i="3"/>
  <c r="AD4" i="3"/>
  <c r="AD19" i="3"/>
  <c r="AD35" i="3"/>
  <c r="AD8" i="3"/>
  <c r="AD24" i="3"/>
  <c r="AD40" i="3"/>
  <c r="AD56" i="3"/>
  <c r="AD66" i="3"/>
  <c r="AD82" i="3"/>
  <c r="AD98" i="3"/>
  <c r="AD53" i="3"/>
  <c r="AD73" i="3"/>
  <c r="AD89" i="3"/>
  <c r="AD105" i="3"/>
  <c r="AD121" i="3"/>
  <c r="AD137" i="3"/>
  <c r="AD118" i="3"/>
  <c r="AD150" i="3"/>
  <c r="AD165" i="3"/>
  <c r="AD181" i="3"/>
  <c r="AD197" i="3"/>
  <c r="AD213" i="3"/>
  <c r="AD132" i="3"/>
  <c r="AD158" i="3"/>
  <c r="AD174" i="3"/>
  <c r="AD190" i="3"/>
  <c r="AD206" i="3"/>
  <c r="AD222" i="3"/>
  <c r="AD238" i="3"/>
  <c r="AD237" i="3"/>
  <c r="AD258" i="3"/>
  <c r="AD274" i="3"/>
  <c r="AD290" i="3"/>
  <c r="AD306" i="3"/>
  <c r="AD322" i="3"/>
  <c r="AD338" i="3"/>
  <c r="AD235" i="3"/>
  <c r="AD255" i="3"/>
  <c r="AD271" i="3"/>
  <c r="AD287" i="3"/>
  <c r="AD303" i="3"/>
  <c r="AD319" i="3"/>
  <c r="AD335" i="3"/>
  <c r="AD351" i="3"/>
  <c r="AD356" i="3"/>
  <c r="AD376" i="3"/>
  <c r="AD392" i="3"/>
  <c r="AD408" i="3"/>
  <c r="AD424" i="3"/>
  <c r="AD363" i="3"/>
  <c r="AD379" i="3"/>
  <c r="AD395" i="3"/>
  <c r="AD411" i="3"/>
  <c r="AD427" i="3"/>
  <c r="AD9" i="3"/>
  <c r="AD41" i="3"/>
  <c r="AD30" i="3"/>
  <c r="AD51" i="3"/>
  <c r="AD88" i="3"/>
  <c r="AD63" i="3"/>
  <c r="AD95" i="3"/>
  <c r="AD127" i="3"/>
  <c r="AD130" i="3"/>
  <c r="AD171" i="3"/>
  <c r="AD203" i="3"/>
  <c r="AD144" i="3"/>
  <c r="AD180" i="3"/>
  <c r="AD212" i="3"/>
  <c r="AD244" i="3"/>
  <c r="AD264" i="3"/>
  <c r="AD296" i="3"/>
  <c r="AD328" i="3"/>
  <c r="AD261" i="3"/>
  <c r="AD293" i="3"/>
  <c r="AD325" i="3"/>
  <c r="AD357" i="3"/>
  <c r="AD382" i="3"/>
  <c r="AD414" i="3"/>
  <c r="AD365" i="3"/>
  <c r="AD397" i="3"/>
  <c r="AD429" i="3"/>
  <c r="AD31" i="3"/>
  <c r="AD20" i="3"/>
  <c r="AD52" i="3"/>
  <c r="AD78" i="3"/>
  <c r="AD110" i="3"/>
  <c r="AD85" i="3"/>
  <c r="AD117" i="3"/>
  <c r="AD149" i="3"/>
  <c r="AD161" i="3"/>
  <c r="AD193" i="3"/>
  <c r="AD124" i="3"/>
  <c r="AD170" i="3"/>
  <c r="AD202" i="3"/>
  <c r="AE22" i="3"/>
  <c r="AE41" i="3"/>
  <c r="AE99" i="3"/>
  <c r="AE106" i="3"/>
  <c r="AE149" i="3"/>
  <c r="AE161" i="3"/>
  <c r="AE275" i="3"/>
  <c r="AE290" i="3"/>
  <c r="AE409" i="3"/>
  <c r="AE59" i="3"/>
  <c r="AE124" i="3"/>
  <c r="AE143" i="3"/>
  <c r="AE261" i="3"/>
  <c r="AE276" i="3"/>
  <c r="AE395" i="3"/>
  <c r="AE25" i="3"/>
  <c r="AE83" i="3"/>
  <c r="AE90" i="3"/>
  <c r="AE117" i="3"/>
  <c r="AE214" i="3"/>
  <c r="AE244" i="3"/>
  <c r="AE258" i="3"/>
  <c r="AE377" i="3"/>
  <c r="AE424" i="3"/>
  <c r="AE27" i="3"/>
  <c r="AE92" i="3"/>
  <c r="AE200" i="3"/>
  <c r="AE243" i="3"/>
  <c r="AE242" i="3"/>
  <c r="AE363" i="3"/>
  <c r="W377" i="3"/>
  <c r="AE6" i="3"/>
  <c r="AE418" i="3"/>
  <c r="AE402" i="3"/>
  <c r="AE386" i="3"/>
  <c r="AE370" i="3"/>
  <c r="AE345" i="3"/>
  <c r="AE419" i="3"/>
  <c r="AE403" i="3"/>
  <c r="AE387" i="3"/>
  <c r="AE371" i="3"/>
  <c r="AE347" i="3"/>
  <c r="AE348" i="3"/>
  <c r="AE332" i="3"/>
  <c r="AE316" i="3"/>
  <c r="AE300" i="3"/>
  <c r="AE284" i="3"/>
  <c r="AE268" i="3"/>
  <c r="AE252" i="3"/>
  <c r="AE226" i="3"/>
  <c r="AE333" i="3"/>
  <c r="AE317" i="3"/>
  <c r="AE301" i="3"/>
  <c r="AE285" i="3"/>
  <c r="AE269" i="3"/>
  <c r="AE253" i="3"/>
  <c r="AE232" i="3"/>
  <c r="AE235" i="3"/>
  <c r="AE219" i="3"/>
  <c r="AE203" i="3"/>
  <c r="AE187" i="3"/>
  <c r="AE171" i="3"/>
  <c r="AE155" i="3"/>
  <c r="AE127" i="3"/>
  <c r="AE208" i="3"/>
  <c r="AE192" i="3"/>
  <c r="AE176" i="3"/>
  <c r="AE160" i="3"/>
  <c r="AE137" i="3"/>
  <c r="AE148" i="3"/>
  <c r="AE132" i="3"/>
  <c r="AE116" i="3"/>
  <c r="AE100" i="3"/>
  <c r="AE84" i="3"/>
  <c r="AE68" i="3"/>
  <c r="AE109" i="3"/>
  <c r="AE93" i="3"/>
  <c r="AE77" i="3"/>
  <c r="AE61" i="3"/>
  <c r="AE51" i="3"/>
  <c r="AE35" i="3"/>
  <c r="AE19" i="3"/>
  <c r="AE48" i="3"/>
  <c r="AE32" i="3"/>
  <c r="AE16" i="3"/>
  <c r="AE416" i="3"/>
  <c r="AE400" i="3"/>
  <c r="AE384" i="3"/>
  <c r="AE368" i="3"/>
  <c r="AE4" i="3"/>
  <c r="AE417" i="3"/>
  <c r="AE401" i="3"/>
  <c r="AE385" i="3"/>
  <c r="AE369" i="3"/>
  <c r="AE362" i="3"/>
  <c r="AE346" i="3"/>
  <c r="AE330" i="3"/>
  <c r="AE314" i="3"/>
  <c r="AE298" i="3"/>
  <c r="AE282" i="3"/>
  <c r="AE266" i="3"/>
  <c r="AE250" i="3"/>
  <c r="AE222" i="3"/>
  <c r="AE331" i="3"/>
  <c r="AE315" i="3"/>
  <c r="AE299" i="3"/>
  <c r="AE283" i="3"/>
  <c r="AE267" i="3"/>
  <c r="AE251" i="3"/>
  <c r="AE228" i="3"/>
  <c r="AE233" i="3"/>
  <c r="AE217" i="3"/>
  <c r="AE201" i="3"/>
  <c r="AE185" i="3"/>
  <c r="AE169" i="3"/>
  <c r="AE153" i="3"/>
  <c r="AE123" i="3"/>
  <c r="AE206" i="3"/>
  <c r="AE190" i="3"/>
  <c r="AE422" i="3"/>
  <c r="AE406" i="3"/>
  <c r="AE390" i="3"/>
  <c r="AE374" i="3"/>
  <c r="AE353" i="3"/>
  <c r="AE423" i="3"/>
  <c r="AE407" i="3"/>
  <c r="AE391" i="3"/>
  <c r="AE375" i="3"/>
  <c r="AE355" i="3"/>
  <c r="AE352" i="3"/>
  <c r="AE336" i="3"/>
  <c r="AE320" i="3"/>
  <c r="AE304" i="3"/>
  <c r="AE288" i="3"/>
  <c r="AE272" i="3"/>
  <c r="AE256" i="3"/>
  <c r="AE234" i="3"/>
  <c r="AE337" i="3"/>
  <c r="AE321" i="3"/>
  <c r="AE305" i="3"/>
  <c r="AE289" i="3"/>
  <c r="AE273" i="3"/>
  <c r="AE257" i="3"/>
  <c r="AE240" i="3"/>
  <c r="AE239" i="3"/>
  <c r="AE223" i="3"/>
  <c r="AE207" i="3"/>
  <c r="AE191" i="3"/>
  <c r="AE175" i="3"/>
  <c r="AE159" i="3"/>
  <c r="AE135" i="3"/>
  <c r="AE212" i="3"/>
  <c r="AE196" i="3"/>
  <c r="AE180" i="3"/>
  <c r="AE164" i="3"/>
  <c r="AE145" i="3"/>
  <c r="AE113" i="3"/>
  <c r="AE136" i="3"/>
  <c r="AE120" i="3"/>
  <c r="AE104" i="3"/>
  <c r="AE88" i="3"/>
  <c r="AE72" i="3"/>
  <c r="AE52" i="3"/>
  <c r="AE97" i="3"/>
  <c r="AE81" i="3"/>
  <c r="AE65" i="3"/>
  <c r="AE55" i="3"/>
  <c r="AE39" i="3"/>
  <c r="AE23" i="3"/>
  <c r="AE7" i="3"/>
  <c r="AE36" i="3"/>
  <c r="AE20" i="3"/>
  <c r="AE420" i="3"/>
  <c r="AE404" i="3"/>
  <c r="AE388" i="3"/>
  <c r="AE372" i="3"/>
  <c r="AE349" i="3"/>
  <c r="AE421" i="3"/>
  <c r="AE405" i="3"/>
  <c r="AE389" i="3"/>
  <c r="AE373" i="3"/>
  <c r="AE351" i="3"/>
  <c r="AE350" i="3"/>
  <c r="AE334" i="3"/>
  <c r="AE318" i="3"/>
  <c r="AE302" i="3"/>
  <c r="AE286" i="3"/>
  <c r="AE270" i="3"/>
  <c r="AE254" i="3"/>
  <c r="AE230" i="3"/>
  <c r="AE335" i="3"/>
  <c r="AE319" i="3"/>
  <c r="AE303" i="3"/>
  <c r="AE287" i="3"/>
  <c r="AE271" i="3"/>
  <c r="AE255" i="3"/>
  <c r="AE236" i="3"/>
  <c r="AE237" i="3"/>
  <c r="AE221" i="3"/>
  <c r="AE205" i="3"/>
  <c r="AE189" i="3"/>
  <c r="AE173" i="3"/>
  <c r="AE157" i="3"/>
  <c r="AE131" i="3"/>
  <c r="AE210" i="3"/>
  <c r="AE194" i="3"/>
  <c r="Z192" i="3"/>
  <c r="Z156" i="3"/>
  <c r="Z344" i="3"/>
  <c r="AE5" i="3"/>
  <c r="AE53" i="3"/>
  <c r="AE111" i="3"/>
  <c r="AE102" i="3"/>
  <c r="AE141" i="3"/>
  <c r="AE202" i="3"/>
  <c r="AE181" i="3"/>
  <c r="AE263" i="3"/>
  <c r="AE327" i="3"/>
  <c r="AE310" i="3"/>
  <c r="AE397" i="3"/>
  <c r="AE28" i="3"/>
  <c r="AE73" i="3"/>
  <c r="AE112" i="3"/>
  <c r="AE188" i="3"/>
  <c r="AE249" i="3"/>
  <c r="AE218" i="3"/>
  <c r="AE328" i="3"/>
  <c r="AE398" i="3"/>
  <c r="AE10" i="3"/>
  <c r="AE26" i="3"/>
  <c r="AE42" i="3"/>
  <c r="AE13" i="3"/>
  <c r="AE29" i="3"/>
  <c r="AE45" i="3"/>
  <c r="AE50" i="3"/>
  <c r="AE71" i="3"/>
  <c r="AE87" i="3"/>
  <c r="AE103" i="3"/>
  <c r="AE62" i="3"/>
  <c r="AE78" i="3"/>
  <c r="AE94" i="3"/>
  <c r="AE110" i="3"/>
  <c r="AE126" i="3"/>
  <c r="AE142" i="3"/>
  <c r="AE125" i="3"/>
  <c r="AE154" i="3"/>
  <c r="AE170" i="3"/>
  <c r="AE186" i="3"/>
  <c r="AE115" i="3"/>
  <c r="AE165" i="3"/>
  <c r="AE197" i="3"/>
  <c r="AE229" i="3"/>
  <c r="AE247" i="3"/>
  <c r="AE279" i="3"/>
  <c r="AE311" i="3"/>
  <c r="AE343" i="3"/>
  <c r="AE262" i="3"/>
  <c r="AE294" i="3"/>
  <c r="AE326" i="3"/>
  <c r="AE358" i="3"/>
  <c r="AE381" i="3"/>
  <c r="AE413" i="3"/>
  <c r="AE364" i="3"/>
  <c r="AE396" i="3"/>
  <c r="AE428" i="3"/>
  <c r="AE12" i="3"/>
  <c r="AE44" i="3"/>
  <c r="AE31" i="3"/>
  <c r="AE54" i="3"/>
  <c r="AE89" i="3"/>
  <c r="AE64" i="3"/>
  <c r="AE96" i="3"/>
  <c r="AE128" i="3"/>
  <c r="AE129" i="3"/>
  <c r="AE172" i="3"/>
  <c r="AE204" i="3"/>
  <c r="AE151" i="3"/>
  <c r="AE183" i="3"/>
  <c r="AE215" i="3"/>
  <c r="AE224" i="3"/>
  <c r="AE265" i="3"/>
  <c r="AE297" i="3"/>
  <c r="AE329" i="3"/>
  <c r="AE248" i="3"/>
  <c r="AE280" i="3"/>
  <c r="AE312" i="3"/>
  <c r="AE344" i="3"/>
  <c r="AE367" i="3"/>
  <c r="AE399" i="3"/>
  <c r="AE431" i="3"/>
  <c r="AE382" i="3"/>
  <c r="AE414" i="3"/>
  <c r="AE34" i="3"/>
  <c r="AE37" i="3"/>
  <c r="AE79" i="3"/>
  <c r="AE70" i="3"/>
  <c r="AE118" i="3"/>
  <c r="AE150" i="3"/>
  <c r="AE178" i="3"/>
  <c r="AE220" i="3"/>
  <c r="AE246" i="3"/>
  <c r="AE365" i="3"/>
  <c r="AE380" i="3"/>
  <c r="AE15" i="3"/>
  <c r="AE105" i="3"/>
  <c r="AE156" i="3"/>
  <c r="AE167" i="3"/>
  <c r="AE231" i="3"/>
  <c r="AE281" i="3"/>
  <c r="AE313" i="3"/>
  <c r="AE296" i="3"/>
  <c r="AE383" i="3"/>
  <c r="AE415" i="3"/>
  <c r="AE430" i="3"/>
  <c r="AE18" i="3"/>
  <c r="AE21" i="3"/>
  <c r="AE63" i="3"/>
  <c r="AE95" i="3"/>
  <c r="AE86" i="3"/>
  <c r="AE134" i="3"/>
  <c r="AE162" i="3"/>
  <c r="AE147" i="3"/>
  <c r="AE213" i="3"/>
  <c r="AE295" i="3"/>
  <c r="AE278" i="3"/>
  <c r="AE342" i="3"/>
  <c r="AE429" i="3"/>
  <c r="AE412" i="3"/>
  <c r="AE47" i="3"/>
  <c r="AE80" i="3"/>
  <c r="AE144" i="3"/>
  <c r="AE119" i="3"/>
  <c r="AE199" i="3"/>
  <c r="AE264" i="3"/>
  <c r="AE360" i="3"/>
  <c r="AE366" i="3"/>
  <c r="AE14" i="3"/>
  <c r="AE30" i="3"/>
  <c r="AE46" i="3"/>
  <c r="AE17" i="3"/>
  <c r="AE33" i="3"/>
  <c r="AE49" i="3"/>
  <c r="AE58" i="3"/>
  <c r="AE75" i="3"/>
  <c r="AE91" i="3"/>
  <c r="AE107" i="3"/>
  <c r="AE66" i="3"/>
  <c r="AE82" i="3"/>
  <c r="AE98" i="3"/>
  <c r="AE114" i="3"/>
  <c r="AE130" i="3"/>
  <c r="AE146" i="3"/>
  <c r="AE133" i="3"/>
  <c r="AE158" i="3"/>
  <c r="AE174" i="3"/>
  <c r="AE198" i="3"/>
  <c r="AE139" i="3"/>
  <c r="AE177" i="3"/>
  <c r="AE209" i="3"/>
  <c r="AE241" i="3"/>
  <c r="AE259" i="3"/>
  <c r="AE291" i="3"/>
  <c r="AE323" i="3"/>
  <c r="AE238" i="3"/>
  <c r="AE274" i="3"/>
  <c r="AE306" i="3"/>
  <c r="AE338" i="3"/>
  <c r="AE359" i="3"/>
  <c r="AE393" i="3"/>
  <c r="AE425" i="3"/>
  <c r="AE376" i="3"/>
  <c r="AE408" i="3"/>
  <c r="AE24" i="3"/>
  <c r="AE11" i="3"/>
  <c r="AE43" i="3"/>
  <c r="AE69" i="3"/>
  <c r="AE101" i="3"/>
  <c r="AE76" i="3"/>
  <c r="AE108" i="3"/>
  <c r="AE140" i="3"/>
  <c r="AE152" i="3"/>
  <c r="AE184" i="3"/>
  <c r="AE216" i="3"/>
  <c r="AE163" i="3"/>
  <c r="AE195" i="3"/>
  <c r="AE227" i="3"/>
  <c r="AE245" i="3"/>
  <c r="AE277" i="3"/>
  <c r="AE309" i="3"/>
  <c r="AE341" i="3"/>
  <c r="AE260" i="3"/>
  <c r="AE292" i="3"/>
  <c r="AE324" i="3"/>
  <c r="AE356" i="3"/>
  <c r="AE379" i="3"/>
  <c r="AE411" i="3"/>
  <c r="AE361" i="3"/>
  <c r="AE394" i="3"/>
  <c r="AE426" i="3"/>
  <c r="W367" i="3"/>
  <c r="W412" i="3"/>
  <c r="W327" i="3"/>
  <c r="W263" i="3"/>
  <c r="W280" i="3"/>
  <c r="W230" i="3"/>
  <c r="W166" i="3"/>
  <c r="W189" i="3"/>
  <c r="W111" i="3"/>
  <c r="W104" i="3"/>
  <c r="W46" i="3"/>
  <c r="W27" i="3"/>
  <c r="W427" i="3"/>
  <c r="W419" i="3"/>
  <c r="W411" i="3"/>
  <c r="W403" i="3"/>
  <c r="W395" i="3"/>
  <c r="W387" i="3"/>
  <c r="W379" i="3"/>
  <c r="W369" i="3"/>
  <c r="W352" i="3"/>
  <c r="W416" i="3"/>
  <c r="W384" i="3"/>
  <c r="W363" i="3"/>
  <c r="W331" i="3"/>
  <c r="W299" i="3"/>
  <c r="W267" i="3"/>
  <c r="W225" i="3"/>
  <c r="W316" i="3"/>
  <c r="W284" i="3"/>
  <c r="W252" i="3"/>
  <c r="W234" i="3"/>
  <c r="W202" i="3"/>
  <c r="W170" i="3"/>
  <c r="W126" i="3"/>
  <c r="W193" i="3"/>
  <c r="W161" i="3"/>
  <c r="W147" i="3"/>
  <c r="W115" i="3"/>
  <c r="W83" i="3"/>
  <c r="W108" i="3"/>
  <c r="W76" i="3"/>
  <c r="W50" i="3"/>
  <c r="W18" i="3"/>
  <c r="W31" i="3"/>
  <c r="W380" i="3"/>
  <c r="W295" i="3"/>
  <c r="W312" i="3"/>
  <c r="W198" i="3"/>
  <c r="W157" i="3"/>
  <c r="W79" i="3"/>
  <c r="W14" i="3"/>
  <c r="W429" i="3"/>
  <c r="W421" i="3"/>
  <c r="W413" i="3"/>
  <c r="W405" i="3"/>
  <c r="W397" i="3"/>
  <c r="W389" i="3"/>
  <c r="W381" i="3"/>
  <c r="W371" i="3"/>
  <c r="W356" i="3"/>
  <c r="W428" i="3"/>
  <c r="W396" i="3"/>
  <c r="W364" i="3"/>
  <c r="W343" i="3"/>
  <c r="W311" i="3"/>
  <c r="W279" i="3"/>
  <c r="W247" i="3"/>
  <c r="W328" i="3"/>
  <c r="W296" i="3"/>
  <c r="W264" i="3"/>
  <c r="W219" i="3"/>
  <c r="W214" i="3"/>
  <c r="W182" i="3"/>
  <c r="W150" i="3"/>
  <c r="W205" i="3"/>
  <c r="W173" i="3"/>
  <c r="W132" i="3"/>
  <c r="W127" i="3"/>
  <c r="W95" i="3"/>
  <c r="W63" i="3"/>
  <c r="W88" i="3"/>
  <c r="W53" i="3"/>
  <c r="W30" i="3"/>
  <c r="W43" i="3"/>
  <c r="W11" i="3"/>
  <c r="W359" i="3"/>
  <c r="W344" i="3"/>
  <c r="W248" i="3"/>
  <c r="W118" i="3"/>
  <c r="W143" i="3"/>
  <c r="W72" i="3"/>
  <c r="W431" i="3"/>
  <c r="W423" i="3"/>
  <c r="W415" i="3"/>
  <c r="W407" i="3"/>
  <c r="W399" i="3"/>
  <c r="W391" i="3"/>
  <c r="W383" i="3"/>
  <c r="W375" i="3"/>
  <c r="W360" i="3"/>
  <c r="W4" i="3"/>
  <c r="W400" i="3"/>
  <c r="W368" i="3"/>
  <c r="W347" i="3"/>
  <c r="W315" i="3"/>
  <c r="W283" i="3"/>
  <c r="W251" i="3"/>
  <c r="W332" i="3"/>
  <c r="W300" i="3"/>
  <c r="W268" i="3"/>
  <c r="W227" i="3"/>
  <c r="W218" i="3"/>
  <c r="W186" i="3"/>
  <c r="W154" i="3"/>
  <c r="W209" i="3"/>
  <c r="W177" i="3"/>
  <c r="W140" i="3"/>
  <c r="W131" i="3"/>
  <c r="W99" i="3"/>
  <c r="W67" i="3"/>
  <c r="W92" i="3"/>
  <c r="W61" i="3"/>
  <c r="W34" i="3"/>
  <c r="W47" i="3"/>
  <c r="W15" i="3"/>
  <c r="W373" i="3"/>
  <c r="W365" i="3"/>
  <c r="W348" i="3"/>
  <c r="W424" i="3"/>
  <c r="W408" i="3"/>
  <c r="W392" i="3"/>
  <c r="W376" i="3"/>
  <c r="W358" i="3"/>
  <c r="W355" i="3"/>
  <c r="W339" i="3"/>
  <c r="W323" i="3"/>
  <c r="W307" i="3"/>
  <c r="W291" i="3"/>
  <c r="W275" i="3"/>
  <c r="W259" i="3"/>
  <c r="W241" i="3"/>
  <c r="W340" i="3"/>
  <c r="W324" i="3"/>
  <c r="W308" i="3"/>
  <c r="W292" i="3"/>
  <c r="W276" i="3"/>
  <c r="W260" i="3"/>
  <c r="W243" i="3"/>
  <c r="W242" i="3"/>
  <c r="W226" i="3"/>
  <c r="W210" i="3"/>
  <c r="W194" i="3"/>
  <c r="W178" i="3"/>
  <c r="W162" i="3"/>
  <c r="W142" i="3"/>
  <c r="W217" i="3"/>
  <c r="W201" i="3"/>
  <c r="W185" i="3"/>
  <c r="W169" i="3"/>
  <c r="W153" i="3"/>
  <c r="W124" i="3"/>
  <c r="W139" i="3"/>
  <c r="W123" i="3"/>
  <c r="W107" i="3"/>
  <c r="W91" i="3"/>
  <c r="W75" i="3"/>
  <c r="W55" i="3"/>
  <c r="W100" i="3"/>
  <c r="W84" i="3"/>
  <c r="W68" i="3"/>
  <c r="W58" i="3"/>
  <c r="W42" i="3"/>
  <c r="W26" i="3"/>
  <c r="W10" i="3"/>
  <c r="W39" i="3"/>
  <c r="W23" i="3"/>
  <c r="W7" i="3"/>
  <c r="AA153" i="3"/>
  <c r="W420" i="3"/>
  <c r="W404" i="3"/>
  <c r="W388" i="3"/>
  <c r="W372" i="3"/>
  <c r="W350" i="3"/>
  <c r="W351" i="3"/>
  <c r="W335" i="3"/>
  <c r="W319" i="3"/>
  <c r="W303" i="3"/>
  <c r="W287" i="3"/>
  <c r="W271" i="3"/>
  <c r="W255" i="3"/>
  <c r="W233" i="3"/>
  <c r="W336" i="3"/>
  <c r="W320" i="3"/>
  <c r="W304" i="3"/>
  <c r="W288" i="3"/>
  <c r="W272" i="3"/>
  <c r="W256" i="3"/>
  <c r="W235" i="3"/>
  <c r="W238" i="3"/>
  <c r="W222" i="3"/>
  <c r="W206" i="3"/>
  <c r="W190" i="3"/>
  <c r="W174" i="3"/>
  <c r="W158" i="3"/>
  <c r="W134" i="3"/>
  <c r="W213" i="3"/>
  <c r="W197" i="3"/>
  <c r="W181" i="3"/>
  <c r="W165" i="3"/>
  <c r="W148" i="3"/>
  <c r="W116" i="3"/>
  <c r="W135" i="3"/>
  <c r="W119" i="3"/>
  <c r="W103" i="3"/>
  <c r="W87" i="3"/>
  <c r="W71" i="3"/>
  <c r="W112" i="3"/>
  <c r="W96" i="3"/>
  <c r="W80" i="3"/>
  <c r="W64" i="3"/>
  <c r="W54" i="3"/>
  <c r="W38" i="3"/>
  <c r="W22" i="3"/>
  <c r="W6" i="3"/>
  <c r="W35" i="3"/>
  <c r="W19" i="3"/>
  <c r="AA411" i="3"/>
  <c r="AA136" i="3"/>
  <c r="W430" i="3"/>
  <c r="W426" i="3"/>
  <c r="W422" i="3"/>
  <c r="W418" i="3"/>
  <c r="W414" i="3"/>
  <c r="W410" i="3"/>
  <c r="W406" i="3"/>
  <c r="W402" i="3"/>
  <c r="W398" i="3"/>
  <c r="W394" i="3"/>
  <c r="W390" i="3"/>
  <c r="W386" i="3"/>
  <c r="W382" i="3"/>
  <c r="W378" i="3"/>
  <c r="W374" i="3"/>
  <c r="W370" i="3"/>
  <c r="W366" i="3"/>
  <c r="W362" i="3"/>
  <c r="W354" i="3"/>
  <c r="W346" i="3"/>
  <c r="W361" i="3"/>
  <c r="W357" i="3"/>
  <c r="W353" i="3"/>
  <c r="W349" i="3"/>
  <c r="W345" i="3"/>
  <c r="W341" i="3"/>
  <c r="W337" i="3"/>
  <c r="W333" i="3"/>
  <c r="W329" i="3"/>
  <c r="W325" i="3"/>
  <c r="W321" i="3"/>
  <c r="W317" i="3"/>
  <c r="W313" i="3"/>
  <c r="W309" i="3"/>
  <c r="W305" i="3"/>
  <c r="W301" i="3"/>
  <c r="W297" i="3"/>
  <c r="W293" i="3"/>
  <c r="W289" i="3"/>
  <c r="W285" i="3"/>
  <c r="W281" i="3"/>
  <c r="W277" i="3"/>
  <c r="W273" i="3"/>
  <c r="W269" i="3"/>
  <c r="W265" i="3"/>
  <c r="W261" i="3"/>
  <c r="W257" i="3"/>
  <c r="W253" i="3"/>
  <c r="W249" i="3"/>
  <c r="W245" i="3"/>
  <c r="W237" i="3"/>
  <c r="W229" i="3"/>
  <c r="W221" i="3"/>
  <c r="W342" i="3"/>
  <c r="W338" i="3"/>
  <c r="W334" i="3"/>
  <c r="W330" i="3"/>
  <c r="W326" i="3"/>
  <c r="W322" i="3"/>
  <c r="W318" i="3"/>
  <c r="W314" i="3"/>
  <c r="W310" i="3"/>
  <c r="W306" i="3"/>
  <c r="W302" i="3"/>
  <c r="W298" i="3"/>
  <c r="W294" i="3"/>
  <c r="W290" i="3"/>
  <c r="W286" i="3"/>
  <c r="W282" i="3"/>
  <c r="W278" i="3"/>
  <c r="W274" i="3"/>
  <c r="W270" i="3"/>
  <c r="W266" i="3"/>
  <c r="W262" i="3"/>
  <c r="W258" i="3"/>
  <c r="W254" i="3"/>
  <c r="W250" i="3"/>
  <c r="W246" i="3"/>
  <c r="W239" i="3"/>
  <c r="W231" i="3"/>
  <c r="W223" i="3"/>
  <c r="W244" i="3"/>
  <c r="W240" i="3"/>
  <c r="W236" i="3"/>
  <c r="W232" i="3"/>
  <c r="W228" i="3"/>
  <c r="W224" i="3"/>
  <c r="W220" i="3"/>
  <c r="W216" i="3"/>
  <c r="W212" i="3"/>
  <c r="W208" i="3"/>
  <c r="W204" i="3"/>
  <c r="W200" i="3"/>
  <c r="W196" i="3"/>
  <c r="W192" i="3"/>
  <c r="W188" i="3"/>
  <c r="W184" i="3"/>
  <c r="W180" i="3"/>
  <c r="W176" i="3"/>
  <c r="W172" i="3"/>
  <c r="W168" i="3"/>
  <c r="W164" i="3"/>
  <c r="W160" i="3"/>
  <c r="W156" i="3"/>
  <c r="W152" i="3"/>
  <c r="W146" i="3"/>
  <c r="W138" i="3"/>
  <c r="W130" i="3"/>
  <c r="W122" i="3"/>
  <c r="W114" i="3"/>
  <c r="W215" i="3"/>
  <c r="W211" i="3"/>
  <c r="W207" i="3"/>
  <c r="W203" i="3"/>
  <c r="W199" i="3"/>
  <c r="W195" i="3"/>
  <c r="W191" i="3"/>
  <c r="W187" i="3"/>
  <c r="W183" i="3"/>
  <c r="W179" i="3"/>
  <c r="W175" i="3"/>
  <c r="W171" i="3"/>
  <c r="W167" i="3"/>
  <c r="W163" i="3"/>
  <c r="W159" i="3"/>
  <c r="W155" i="3"/>
  <c r="W151" i="3"/>
  <c r="W144" i="3"/>
  <c r="W136" i="3"/>
  <c r="W128" i="3"/>
  <c r="W120" i="3"/>
  <c r="W149" i="3"/>
  <c r="W145" i="3"/>
  <c r="W141" i="3"/>
  <c r="W137" i="3"/>
  <c r="W133" i="3"/>
  <c r="W129" i="3"/>
  <c r="W125" i="3"/>
  <c r="W121" i="3"/>
  <c r="W117" i="3"/>
  <c r="W113" i="3"/>
  <c r="W109" i="3"/>
  <c r="W105" i="3"/>
  <c r="W101" i="3"/>
  <c r="W97" i="3"/>
  <c r="W93" i="3"/>
  <c r="W89" i="3"/>
  <c r="W85" i="3"/>
  <c r="W81" i="3"/>
  <c r="W77" i="3"/>
  <c r="W73" i="3"/>
  <c r="W69" i="3"/>
  <c r="W65" i="3"/>
  <c r="W59" i="3"/>
  <c r="W51" i="3"/>
  <c r="W110" i="3"/>
  <c r="W106" i="3"/>
  <c r="W102" i="3"/>
  <c r="W98" i="3"/>
  <c r="W94" i="3"/>
  <c r="W90" i="3"/>
  <c r="W86" i="3"/>
  <c r="W82" i="3"/>
  <c r="W78" i="3"/>
  <c r="W74" i="3"/>
  <c r="W70" i="3"/>
  <c r="W66" i="3"/>
  <c r="W62" i="3"/>
  <c r="W57" i="3"/>
  <c r="W60" i="3"/>
  <c r="W56" i="3"/>
  <c r="W52" i="3"/>
  <c r="W48" i="3"/>
  <c r="W44" i="3"/>
  <c r="W40" i="3"/>
  <c r="W36" i="3"/>
  <c r="W32" i="3"/>
  <c r="W28" i="3"/>
  <c r="W24" i="3"/>
  <c r="W20" i="3"/>
  <c r="W16" i="3"/>
  <c r="W12" i="3"/>
  <c r="W8" i="3"/>
  <c r="W49" i="3"/>
  <c r="W45" i="3"/>
  <c r="W41" i="3"/>
  <c r="W37" i="3"/>
  <c r="W33" i="3"/>
  <c r="W29" i="3"/>
  <c r="W25" i="3"/>
  <c r="W21" i="3"/>
  <c r="W17" i="3"/>
  <c r="W13" i="3"/>
  <c r="W9" i="3"/>
  <c r="Y177" i="3" l="1"/>
  <c r="AD292" i="3"/>
  <c r="AD214" i="3"/>
  <c r="AD400" i="3"/>
  <c r="AD198" i="3"/>
  <c r="AD240" i="3"/>
  <c r="AD426" i="3"/>
  <c r="AD266" i="3"/>
  <c r="AD420" i="3"/>
  <c r="AD409" i="3"/>
  <c r="AD298" i="3"/>
  <c r="Z49" i="3"/>
  <c r="Z407" i="3"/>
  <c r="AD368" i="3"/>
  <c r="AD106" i="3"/>
  <c r="AD21" i="3"/>
  <c r="AD254" i="3"/>
  <c r="AB67" i="3"/>
  <c r="Z431" i="3"/>
  <c r="Z353" i="3"/>
  <c r="Z225" i="3"/>
  <c r="Z189" i="3"/>
  <c r="Z79" i="3"/>
  <c r="Z284" i="3"/>
  <c r="Z21" i="3"/>
  <c r="Z330" i="3"/>
  <c r="Z246" i="3"/>
  <c r="Z96" i="3"/>
  <c r="AD318" i="3"/>
  <c r="AD48" i="3"/>
  <c r="AD139" i="3"/>
  <c r="AD267" i="3"/>
  <c r="AB72" i="3"/>
  <c r="Z404" i="3"/>
  <c r="Z115" i="3"/>
  <c r="Z394" i="3"/>
  <c r="Y131" i="3"/>
  <c r="AA325" i="3"/>
  <c r="AA208" i="3"/>
  <c r="AD393" i="3"/>
  <c r="AD360" i="3"/>
  <c r="AD91" i="3"/>
  <c r="AB342" i="3"/>
  <c r="X251" i="3"/>
  <c r="AA29" i="3"/>
  <c r="Z312" i="3"/>
  <c r="Z349" i="3"/>
  <c r="Z17" i="3"/>
  <c r="Z83" i="3"/>
  <c r="Z213" i="3"/>
  <c r="Z245" i="3"/>
  <c r="Z288" i="3"/>
  <c r="Z210" i="3"/>
  <c r="Z179" i="3"/>
  <c r="AB61" i="3"/>
  <c r="AB166" i="3"/>
  <c r="Z111" i="3"/>
  <c r="Z188" i="3"/>
  <c r="Z223" i="3"/>
  <c r="Z376" i="3"/>
  <c r="Z8" i="3"/>
  <c r="Z205" i="3"/>
  <c r="Z4" i="3"/>
  <c r="Z297" i="3"/>
  <c r="Z382" i="3"/>
  <c r="Z198" i="3"/>
  <c r="Z14" i="3"/>
  <c r="Z334" i="3"/>
  <c r="Z133" i="3"/>
  <c r="Z386" i="3"/>
  <c r="Z170" i="3"/>
  <c r="Z18" i="3"/>
  <c r="Z338" i="3"/>
  <c r="Z105" i="3"/>
  <c r="Z162" i="3"/>
  <c r="Z174" i="3"/>
  <c r="Z217" i="3"/>
  <c r="Z167" i="3"/>
  <c r="Z145" i="3"/>
  <c r="Z391" i="3"/>
  <c r="AD250" i="3"/>
  <c r="AD263" i="3"/>
  <c r="AD384" i="3"/>
  <c r="Z326" i="3"/>
  <c r="Z190" i="3"/>
  <c r="AD84" i="3"/>
  <c r="AD305" i="3"/>
  <c r="AD173" i="3"/>
  <c r="AD279" i="3"/>
  <c r="AD375" i="3"/>
  <c r="AD247" i="3"/>
  <c r="AD116" i="3"/>
  <c r="AD353" i="3"/>
  <c r="AD75" i="3"/>
  <c r="AD55" i="3"/>
  <c r="AD160" i="3"/>
  <c r="Y65" i="3"/>
  <c r="AB347" i="3"/>
  <c r="AB20" i="3"/>
  <c r="Z359" i="3"/>
  <c r="Z116" i="3"/>
  <c r="Z27" i="3"/>
  <c r="Z302" i="3"/>
  <c r="Z69" i="3"/>
  <c r="Z363" i="3"/>
  <c r="Z124" i="3"/>
  <c r="Z429" i="3"/>
  <c r="Z306" i="3"/>
  <c r="Z73" i="3"/>
  <c r="Z276" i="3"/>
  <c r="Z22" i="3"/>
  <c r="Z379" i="3"/>
  <c r="Z405" i="3"/>
  <c r="Z201" i="3"/>
  <c r="Y93" i="3"/>
  <c r="X5" i="3"/>
  <c r="X201" i="3"/>
  <c r="AA197" i="3"/>
  <c r="AA30" i="3"/>
  <c r="AA34" i="3"/>
  <c r="AA25" i="3"/>
  <c r="AD227" i="3"/>
  <c r="AB389" i="3"/>
  <c r="AB322" i="3"/>
  <c r="AA254" i="3"/>
  <c r="AA92" i="3"/>
  <c r="AA367" i="3"/>
  <c r="X385" i="3"/>
  <c r="AA39" i="3"/>
  <c r="AA405" i="3"/>
  <c r="AA242" i="3"/>
  <c r="AA163" i="3"/>
  <c r="AA98" i="3"/>
  <c r="AA51" i="3"/>
  <c r="AA161" i="3"/>
  <c r="AA362" i="3"/>
  <c r="AB177" i="3"/>
  <c r="AB210" i="3"/>
  <c r="AB194" i="3"/>
  <c r="X114" i="3"/>
  <c r="AA207" i="3"/>
  <c r="AA142" i="3"/>
  <c r="AA40" i="3"/>
  <c r="AA359" i="3"/>
  <c r="AA315" i="3"/>
  <c r="AA134" i="3"/>
  <c r="AA401" i="3"/>
  <c r="AA392" i="3"/>
  <c r="AA231" i="3"/>
  <c r="AA287" i="3"/>
  <c r="AA31" i="3"/>
  <c r="AA376" i="3"/>
  <c r="X121" i="3"/>
  <c r="X362" i="3"/>
  <c r="AA212" i="3"/>
  <c r="AA334" i="3"/>
  <c r="AA103" i="3"/>
  <c r="AA279" i="3"/>
  <c r="AA412" i="3"/>
  <c r="AA168" i="3"/>
  <c r="AA290" i="3"/>
  <c r="AA54" i="3"/>
  <c r="AA224" i="3"/>
  <c r="AA368" i="3"/>
  <c r="AA99" i="3"/>
  <c r="AA358" i="3"/>
  <c r="AA387" i="3"/>
  <c r="AA310" i="3"/>
  <c r="AA148" i="3"/>
  <c r="AA253" i="3"/>
  <c r="AA215" i="3"/>
  <c r="AA265" i="3"/>
  <c r="X83" i="3"/>
  <c r="X264" i="3"/>
  <c r="X109" i="3"/>
  <c r="AA52" i="3"/>
  <c r="AA273" i="3"/>
  <c r="AA422" i="3"/>
  <c r="AA202" i="3"/>
  <c r="AA324" i="3"/>
  <c r="AA69" i="3"/>
  <c r="AA243" i="3"/>
  <c r="AA378" i="3"/>
  <c r="AA158" i="3"/>
  <c r="AA280" i="3"/>
  <c r="AA105" i="3"/>
  <c r="AA301" i="3"/>
  <c r="AA339" i="3"/>
  <c r="AA112" i="3"/>
  <c r="AA150" i="3"/>
  <c r="AA348" i="3"/>
  <c r="AA166" i="3"/>
  <c r="AA234" i="3"/>
  <c r="AA95" i="3"/>
  <c r="Z399" i="3"/>
  <c r="Z327" i="3"/>
  <c r="Z248" i="3"/>
  <c r="Z187" i="3"/>
  <c r="Z104" i="3"/>
  <c r="Z393" i="3"/>
  <c r="Z317" i="3"/>
  <c r="Z270" i="3"/>
  <c r="Z177" i="3"/>
  <c r="Z94" i="3"/>
  <c r="Z403" i="3"/>
  <c r="Z299" i="3"/>
  <c r="Z252" i="3"/>
  <c r="Z191" i="3"/>
  <c r="Z76" i="3"/>
  <c r="Z397" i="3"/>
  <c r="Z321" i="3"/>
  <c r="Z241" i="3"/>
  <c r="Z181" i="3"/>
  <c r="Z98" i="3"/>
  <c r="Z368" i="3"/>
  <c r="Z45" i="3"/>
  <c r="Z378" i="3"/>
  <c r="Z422" i="3"/>
  <c r="Z195" i="3"/>
  <c r="Z325" i="3"/>
  <c r="Z109" i="3"/>
  <c r="Z339" i="3"/>
  <c r="Z57" i="3"/>
  <c r="Z219" i="3"/>
  <c r="Z74" i="3"/>
  <c r="Z417" i="3"/>
  <c r="Z152" i="3"/>
  <c r="Z38" i="3"/>
  <c r="AD199" i="3"/>
  <c r="AD183" i="3"/>
  <c r="AD157" i="3"/>
  <c r="AD10" i="3"/>
  <c r="AD311" i="3"/>
  <c r="AD388" i="3"/>
  <c r="Y32" i="3"/>
  <c r="Y116" i="3"/>
  <c r="AB218" i="3"/>
  <c r="AB395" i="3"/>
  <c r="AB37" i="3"/>
  <c r="AB329" i="3"/>
  <c r="Z367" i="3"/>
  <c r="Z263" i="3"/>
  <c r="Z230" i="3"/>
  <c r="Z155" i="3"/>
  <c r="Z46" i="3"/>
  <c r="Z358" i="3"/>
  <c r="Z285" i="3"/>
  <c r="Z220" i="3"/>
  <c r="Z142" i="3"/>
  <c r="Z62" i="3"/>
  <c r="Z418" i="3"/>
  <c r="Z267" i="3"/>
  <c r="Z234" i="3"/>
  <c r="Z147" i="3"/>
  <c r="Z50" i="3"/>
  <c r="Z365" i="3"/>
  <c r="Z257" i="3"/>
  <c r="Z224" i="3"/>
  <c r="Z150" i="3"/>
  <c r="Z40" i="3"/>
  <c r="Z68" i="3"/>
  <c r="Z173" i="3"/>
  <c r="Z303" i="3"/>
  <c r="Z80" i="3"/>
  <c r="Z261" i="3"/>
  <c r="Z102" i="3"/>
  <c r="Z260" i="3"/>
  <c r="Z39" i="3"/>
  <c r="Z282" i="3"/>
  <c r="Z28" i="3"/>
  <c r="Z64" i="3"/>
  <c r="AC278" i="3"/>
  <c r="AC280" i="3"/>
  <c r="AD387" i="3"/>
  <c r="AD419" i="3"/>
  <c r="AD331" i="3"/>
  <c r="AD286" i="3"/>
  <c r="AD129" i="3"/>
  <c r="AD410" i="3"/>
  <c r="AD224" i="3"/>
  <c r="AD26" i="3"/>
  <c r="AD289" i="3"/>
  <c r="AD234" i="3"/>
  <c r="AD350" i="3"/>
  <c r="AD113" i="3"/>
  <c r="AD340" i="3"/>
  <c r="AB47" i="3"/>
  <c r="AB154" i="3"/>
  <c r="AB44" i="3"/>
  <c r="AB253" i="3"/>
  <c r="AB167" i="3"/>
  <c r="AB229" i="3"/>
  <c r="AC363" i="3"/>
  <c r="AC428" i="3"/>
  <c r="AC368" i="3"/>
  <c r="AC176" i="3"/>
  <c r="AC57" i="3"/>
  <c r="AC215" i="3"/>
  <c r="AC239" i="3"/>
  <c r="AC102" i="3"/>
  <c r="AC413" i="3"/>
  <c r="AC354" i="3"/>
  <c r="AC29" i="3"/>
  <c r="AC209" i="3"/>
  <c r="AC23" i="3"/>
  <c r="AC284" i="3"/>
  <c r="AC302" i="3"/>
  <c r="AC277" i="3"/>
  <c r="AC181" i="3"/>
  <c r="AC391" i="3"/>
  <c r="AC255" i="3"/>
  <c r="AC43" i="3"/>
  <c r="AC294" i="3"/>
  <c r="AC289" i="3"/>
  <c r="AC265" i="3"/>
  <c r="AC396" i="3"/>
  <c r="AC290" i="3"/>
  <c r="AC8" i="3"/>
  <c r="AC334" i="3"/>
  <c r="AC257" i="3"/>
  <c r="AC331" i="3"/>
  <c r="AC66" i="3"/>
  <c r="AC87" i="3"/>
  <c r="AC218" i="3"/>
  <c r="AC414" i="3"/>
  <c r="AC54" i="3"/>
  <c r="AC259" i="3"/>
  <c r="AC285" i="3"/>
  <c r="AC133" i="3"/>
  <c r="AC151" i="3"/>
  <c r="AC296" i="3"/>
  <c r="AC155" i="3"/>
  <c r="AC24" i="3"/>
  <c r="AC105" i="3"/>
  <c r="AD27" i="3"/>
  <c r="AD148" i="3"/>
  <c r="AB131" i="3"/>
  <c r="AB332" i="3"/>
  <c r="AB187" i="3"/>
  <c r="AB36" i="3"/>
  <c r="AB295" i="3"/>
  <c r="AB375" i="3"/>
  <c r="AC281" i="3"/>
  <c r="AC401" i="3"/>
  <c r="AC286" i="3"/>
  <c r="AC409" i="3"/>
  <c r="AC258" i="3"/>
  <c r="AC297" i="3"/>
  <c r="AC330" i="3"/>
  <c r="AC386" i="3"/>
  <c r="AC217" i="3"/>
  <c r="AC56" i="3"/>
  <c r="AC94" i="3"/>
  <c r="AC244" i="3"/>
  <c r="AC314" i="3"/>
  <c r="AC122" i="3"/>
  <c r="AC272" i="3"/>
  <c r="AC372" i="3"/>
  <c r="AC118" i="3"/>
  <c r="AC128" i="3"/>
  <c r="AC169" i="3"/>
  <c r="AC88" i="3"/>
  <c r="AC179" i="3"/>
  <c r="AC19" i="3"/>
  <c r="AC238" i="3"/>
  <c r="AC421" i="3"/>
  <c r="AC397" i="3"/>
  <c r="AC273" i="3"/>
  <c r="AC377" i="3"/>
  <c r="AC341" i="3"/>
  <c r="AC344" i="3"/>
  <c r="AC153" i="3"/>
  <c r="AC46" i="3"/>
  <c r="AC204" i="3"/>
  <c r="AC308" i="3"/>
  <c r="AC246" i="3"/>
  <c r="AC141" i="3"/>
  <c r="AC336" i="3"/>
  <c r="AC429" i="3"/>
  <c r="AC387" i="3"/>
  <c r="AC81" i="3"/>
  <c r="AC371" i="3"/>
  <c r="AC101" i="3"/>
  <c r="AC70" i="3"/>
  <c r="X32" i="3"/>
  <c r="X162" i="3"/>
  <c r="X317" i="3"/>
  <c r="AA7" i="3"/>
  <c r="AA65" i="3"/>
  <c r="AA104" i="3"/>
  <c r="AA164" i="3"/>
  <c r="AA159" i="3"/>
  <c r="AA236" i="3"/>
  <c r="AA321" i="3"/>
  <c r="AA286" i="3"/>
  <c r="AA373" i="3"/>
  <c r="AA374" i="3"/>
  <c r="AA26" i="3"/>
  <c r="AA71" i="3"/>
  <c r="AA94" i="3"/>
  <c r="AA154" i="3"/>
  <c r="AA165" i="3"/>
  <c r="AA245" i="3"/>
  <c r="AA311" i="3"/>
  <c r="AA292" i="3"/>
  <c r="AA363" i="3"/>
  <c r="AA364" i="3"/>
  <c r="AA27" i="3"/>
  <c r="AA60" i="3"/>
  <c r="AA140" i="3"/>
  <c r="AA200" i="3"/>
  <c r="AA211" i="3"/>
  <c r="AA277" i="3"/>
  <c r="AA238" i="3"/>
  <c r="AA338" i="3"/>
  <c r="AA409" i="3"/>
  <c r="AA410" i="3"/>
  <c r="AA33" i="3"/>
  <c r="AA107" i="3"/>
  <c r="AA130" i="3"/>
  <c r="AA206" i="3"/>
  <c r="AA201" i="3"/>
  <c r="AA267" i="3"/>
  <c r="AA248" i="3"/>
  <c r="AA328" i="3"/>
  <c r="AA399" i="3"/>
  <c r="AA416" i="3"/>
  <c r="AA32" i="3"/>
  <c r="AA84" i="3"/>
  <c r="AA15" i="3"/>
  <c r="AA100" i="3"/>
  <c r="AA187" i="3"/>
  <c r="AA314" i="3"/>
  <c r="AA22" i="3"/>
  <c r="AA138" i="3"/>
  <c r="AA275" i="3"/>
  <c r="AA352" i="3"/>
  <c r="AA119" i="3"/>
  <c r="AA345" i="3"/>
  <c r="AA413" i="3"/>
  <c r="AA111" i="3"/>
  <c r="AA173" i="3"/>
  <c r="AA268" i="3"/>
  <c r="AA183" i="3"/>
  <c r="AA414" i="3"/>
  <c r="AA271" i="3"/>
  <c r="AA235" i="3"/>
  <c r="AA57" i="3"/>
  <c r="AA323" i="3"/>
  <c r="AA116" i="3"/>
  <c r="AA385" i="3"/>
  <c r="AA198" i="3"/>
  <c r="AA423" i="3"/>
  <c r="AA252" i="3"/>
  <c r="AA382" i="3"/>
  <c r="AA18" i="3"/>
  <c r="AA189" i="3"/>
  <c r="AC48" i="3"/>
  <c r="AC191" i="3"/>
  <c r="AC109" i="3"/>
  <c r="AC125" i="3"/>
  <c r="AC163" i="3"/>
  <c r="AC186" i="3"/>
  <c r="AC116" i="3"/>
  <c r="AC107" i="3"/>
  <c r="AC145" i="3"/>
  <c r="AC100" i="3"/>
  <c r="AC28" i="3"/>
  <c r="AC182" i="3"/>
  <c r="AC234" i="3"/>
  <c r="AC389" i="3"/>
  <c r="AC154" i="3"/>
  <c r="AC75" i="3"/>
  <c r="AC174" i="3"/>
  <c r="AC53" i="3"/>
  <c r="AC268" i="3"/>
  <c r="AC378" i="3"/>
  <c r="AC323" i="3"/>
  <c r="AC168" i="3"/>
  <c r="AC38" i="3"/>
  <c r="AC427" i="3"/>
  <c r="AC295" i="3"/>
  <c r="AC127" i="3"/>
  <c r="AC10" i="3"/>
  <c r="AC130" i="3"/>
  <c r="AC267" i="3"/>
  <c r="AC399" i="3"/>
  <c r="AC313" i="3"/>
  <c r="AC318" i="3"/>
  <c r="AC309" i="3"/>
  <c r="AC322" i="3"/>
  <c r="AC364" i="3"/>
  <c r="AC405" i="3"/>
  <c r="AC253" i="3"/>
  <c r="X49" i="3"/>
  <c r="X160" i="3"/>
  <c r="X315" i="3"/>
  <c r="X370" i="3"/>
  <c r="X51" i="3"/>
  <c r="X125" i="3"/>
  <c r="X266" i="3"/>
  <c r="AA23" i="3"/>
  <c r="AA97" i="3"/>
  <c r="AA120" i="3"/>
  <c r="AA180" i="3"/>
  <c r="AA191" i="3"/>
  <c r="AA257" i="3"/>
  <c r="AA337" i="3"/>
  <c r="AA318" i="3"/>
  <c r="AA389" i="3"/>
  <c r="AA390" i="3"/>
  <c r="AA13" i="3"/>
  <c r="AA87" i="3"/>
  <c r="AA110" i="3"/>
  <c r="AA186" i="3"/>
  <c r="AA181" i="3"/>
  <c r="AA247" i="3"/>
  <c r="AA343" i="3"/>
  <c r="AA308" i="3"/>
  <c r="AA379" i="3"/>
  <c r="AA396" i="3"/>
  <c r="AA8" i="3"/>
  <c r="AA59" i="3"/>
  <c r="AA76" i="3"/>
  <c r="AA121" i="3"/>
  <c r="AA143" i="3"/>
  <c r="AA227" i="3"/>
  <c r="AA293" i="3"/>
  <c r="AA274" i="3"/>
  <c r="AA354" i="3"/>
  <c r="AA425" i="3"/>
  <c r="AA14" i="3"/>
  <c r="AA49" i="3"/>
  <c r="AA66" i="3"/>
  <c r="AA133" i="3"/>
  <c r="AA123" i="3"/>
  <c r="AA217" i="3"/>
  <c r="AA299" i="3"/>
  <c r="AA264" i="3"/>
  <c r="AA344" i="3"/>
  <c r="AA431" i="3"/>
  <c r="AA19" i="3"/>
  <c r="AA73" i="3"/>
  <c r="AA132" i="3"/>
  <c r="AA269" i="3"/>
  <c r="AA369" i="3"/>
  <c r="AA9" i="3"/>
  <c r="AA182" i="3"/>
  <c r="AA307" i="3"/>
  <c r="AA407" i="3"/>
  <c r="AA64" i="3"/>
  <c r="AA167" i="3"/>
  <c r="AA262" i="3"/>
  <c r="AA430" i="3"/>
  <c r="AA118" i="3"/>
  <c r="AA205" i="3"/>
  <c r="AA332" i="3"/>
  <c r="AA297" i="3"/>
  <c r="AA70" i="3"/>
  <c r="AA335" i="3"/>
  <c r="AA48" i="3"/>
  <c r="AA298" i="3"/>
  <c r="AA56" i="3"/>
  <c r="AA272" i="3"/>
  <c r="AA203" i="3"/>
  <c r="AA6" i="3"/>
  <c r="AA177" i="3"/>
  <c r="AA420" i="3"/>
  <c r="AC63" i="3"/>
  <c r="AA102" i="3"/>
  <c r="AC31" i="3"/>
  <c r="AC93" i="3"/>
  <c r="Y77" i="3"/>
  <c r="Y66" i="3"/>
  <c r="Y335" i="3"/>
  <c r="Y56" i="3"/>
  <c r="Y157" i="3"/>
  <c r="Y172" i="3"/>
  <c r="Y286" i="3"/>
  <c r="Y274" i="3"/>
  <c r="Y82" i="3"/>
  <c r="Z125" i="3"/>
  <c r="Z374" i="3"/>
  <c r="Z23" i="3"/>
  <c r="Z272" i="3"/>
  <c r="Z364" i="3"/>
  <c r="Z93" i="3"/>
  <c r="Z81" i="3"/>
  <c r="Z232" i="3"/>
  <c r="Z361" i="3"/>
  <c r="Z58" i="3"/>
  <c r="Z140" i="3"/>
  <c r="Z275" i="3"/>
  <c r="Z25" i="3"/>
  <c r="Z153" i="3"/>
  <c r="Z310" i="3"/>
  <c r="Z369" i="3"/>
  <c r="Z87" i="3"/>
  <c r="Z238" i="3"/>
  <c r="Z352" i="3"/>
  <c r="Z389" i="3"/>
  <c r="Z410" i="3"/>
  <c r="Z139" i="3"/>
  <c r="Z249" i="3"/>
  <c r="Z32" i="3"/>
  <c r="Z277" i="3"/>
  <c r="Z287" i="3"/>
  <c r="Z243" i="3"/>
  <c r="Z16" i="3"/>
  <c r="Z168" i="3"/>
  <c r="Z416" i="3"/>
  <c r="Z123" i="3"/>
  <c r="Z324" i="3"/>
  <c r="Z44" i="3"/>
  <c r="Z196" i="3"/>
  <c r="Z380" i="3"/>
  <c r="Z114" i="3"/>
  <c r="Z231" i="3"/>
  <c r="Z107" i="3"/>
  <c r="Z291" i="3"/>
  <c r="Z421" i="3"/>
  <c r="Z97" i="3"/>
  <c r="Z66" i="3"/>
  <c r="Z137" i="3"/>
  <c r="Z160" i="3"/>
  <c r="Z274" i="3"/>
  <c r="Z289" i="3"/>
  <c r="Z408" i="3"/>
  <c r="Z31" i="3"/>
  <c r="Z108" i="3"/>
  <c r="Z159" i="3"/>
  <c r="Z202" i="3"/>
  <c r="Z316" i="3"/>
  <c r="Z331" i="3"/>
  <c r="Z371" i="3"/>
  <c r="Z36" i="3"/>
  <c r="Z101" i="3"/>
  <c r="Z209" i="3"/>
  <c r="Z233" i="3"/>
  <c r="Z253" i="3"/>
  <c r="Z372" i="3"/>
  <c r="Z425" i="3"/>
  <c r="Z72" i="3"/>
  <c r="Z143" i="3"/>
  <c r="Z166" i="3"/>
  <c r="Z280" i="3"/>
  <c r="Z295" i="3"/>
  <c r="Z414" i="3"/>
  <c r="AA20" i="3"/>
  <c r="AA349" i="3"/>
  <c r="AA397" i="3"/>
  <c r="AA316" i="3"/>
  <c r="AA303" i="3"/>
  <c r="AA371" i="3"/>
  <c r="AA329" i="3"/>
  <c r="AA210" i="3"/>
  <c r="AA89" i="3"/>
  <c r="AA355" i="3"/>
  <c r="AA241" i="3"/>
  <c r="AA90" i="3"/>
  <c r="AA370" i="3"/>
  <c r="AA317" i="3"/>
  <c r="AA160" i="3"/>
  <c r="AA391" i="3"/>
  <c r="AA259" i="3"/>
  <c r="AA122" i="3"/>
  <c r="AA402" i="3"/>
  <c r="AA222" i="3"/>
  <c r="AA192" i="3"/>
  <c r="AA284" i="3"/>
  <c r="AA157" i="3"/>
  <c r="AA63" i="3"/>
  <c r="AA365" i="3"/>
  <c r="AA220" i="3"/>
  <c r="AA96" i="3"/>
  <c r="AA404" i="3"/>
  <c r="AA347" i="3"/>
  <c r="AA226" i="3"/>
  <c r="AA237" i="3"/>
  <c r="AA194" i="3"/>
  <c r="AA86" i="3"/>
  <c r="AA21" i="3"/>
  <c r="AA366" i="3"/>
  <c r="AA326" i="3"/>
  <c r="AA313" i="3"/>
  <c r="AA199" i="3"/>
  <c r="AA156" i="3"/>
  <c r="AA50" i="3"/>
  <c r="AA424" i="3"/>
  <c r="AA375" i="3"/>
  <c r="AA256" i="3"/>
  <c r="AA240" i="3"/>
  <c r="AA214" i="3"/>
  <c r="AA106" i="3"/>
  <c r="AA41" i="3"/>
  <c r="AA386" i="3"/>
  <c r="AA346" i="3"/>
  <c r="AA333" i="3"/>
  <c r="AA219" i="3"/>
  <c r="AA176" i="3"/>
  <c r="AA93" i="3"/>
  <c r="AA128" i="3"/>
  <c r="AA12" i="3"/>
  <c r="AA232" i="3"/>
  <c r="AA37" i="3"/>
  <c r="AA408" i="3"/>
  <c r="AA291" i="3"/>
  <c r="AA83" i="3"/>
  <c r="AA330" i="3"/>
  <c r="AA127" i="3"/>
  <c r="AA336" i="3"/>
  <c r="AA139" i="3"/>
  <c r="AA38" i="3"/>
  <c r="AA285" i="3"/>
  <c r="AA68" i="3"/>
  <c r="AA403" i="3"/>
  <c r="AA221" i="3"/>
  <c r="AA5" i="3"/>
  <c r="AA246" i="3"/>
  <c r="AA129" i="3"/>
  <c r="AA372" i="3"/>
  <c r="AA300" i="3"/>
  <c r="AA255" i="3"/>
  <c r="AA162" i="3"/>
  <c r="AA79" i="3"/>
  <c r="AA398" i="3"/>
  <c r="AA294" i="3"/>
  <c r="AA249" i="3"/>
  <c r="AA188" i="3"/>
  <c r="AA44" i="3"/>
  <c r="AA357" i="3"/>
  <c r="AA288" i="3"/>
  <c r="AA225" i="3"/>
  <c r="AA149" i="3"/>
  <c r="AA67" i="3"/>
  <c r="AA4" i="3"/>
  <c r="AA282" i="3"/>
  <c r="AA228" i="3"/>
  <c r="AA137" i="3"/>
  <c r="AA16" i="3"/>
  <c r="AA47" i="3"/>
  <c r="AA77" i="3"/>
  <c r="AA400" i="3"/>
  <c r="AA415" i="3"/>
  <c r="AA360" i="3"/>
  <c r="AA296" i="3"/>
  <c r="AA218" i="3"/>
  <c r="AA283" i="3"/>
  <c r="AA233" i="3"/>
  <c r="AA169" i="3"/>
  <c r="AA190" i="3"/>
  <c r="AA146" i="3"/>
  <c r="AA82" i="3"/>
  <c r="AA75" i="3"/>
  <c r="AA17" i="3"/>
  <c r="AA426" i="3"/>
  <c r="AA361" i="3"/>
  <c r="AA377" i="3"/>
  <c r="AA322" i="3"/>
  <c r="AA258" i="3"/>
  <c r="AA309" i="3"/>
  <c r="AA244" i="3"/>
  <c r="AA195" i="3"/>
  <c r="AA216" i="3"/>
  <c r="AA152" i="3"/>
  <c r="AA108" i="3"/>
  <c r="AA101" i="3"/>
  <c r="AA43" i="3"/>
  <c r="AA24" i="3"/>
  <c r="AA380" i="3"/>
  <c r="AA395" i="3"/>
  <c r="AA340" i="3"/>
  <c r="AA276" i="3"/>
  <c r="AA327" i="3"/>
  <c r="AA263" i="3"/>
  <c r="AA213" i="3"/>
  <c r="AA147" i="3"/>
  <c r="AA170" i="3"/>
  <c r="AA126" i="3"/>
  <c r="AA62" i="3"/>
  <c r="AA61" i="3"/>
  <c r="AA42" i="3"/>
  <c r="AA406" i="3"/>
  <c r="AA421" i="3"/>
  <c r="AA351" i="3"/>
  <c r="AA302" i="3"/>
  <c r="AA230" i="3"/>
  <c r="AA289" i="3"/>
  <c r="AA239" i="3"/>
  <c r="AA175" i="3"/>
  <c r="AA196" i="3"/>
  <c r="AA113" i="3"/>
  <c r="AA88" i="3"/>
  <c r="AA81" i="3"/>
  <c r="X70" i="3"/>
  <c r="X199" i="3"/>
  <c r="X328" i="3"/>
  <c r="X116" i="3"/>
  <c r="X253" i="3"/>
  <c r="X404" i="3"/>
  <c r="AA36" i="3"/>
  <c r="AA55" i="3"/>
  <c r="AA72" i="3"/>
  <c r="AA145" i="3"/>
  <c r="AA135" i="3"/>
  <c r="AA223" i="3"/>
  <c r="AA305" i="3"/>
  <c r="AA270" i="3"/>
  <c r="AA350" i="3"/>
  <c r="AA353" i="3"/>
  <c r="AA10" i="3"/>
  <c r="AA45" i="3"/>
  <c r="AA78" i="3"/>
  <c r="AA125" i="3"/>
  <c r="AA115" i="3"/>
  <c r="AA229" i="3"/>
  <c r="AA295" i="3"/>
  <c r="AA260" i="3"/>
  <c r="AA356" i="3"/>
  <c r="AA427" i="3"/>
  <c r="AA428" i="3"/>
  <c r="AA11" i="3"/>
  <c r="AA85" i="3"/>
  <c r="AA124" i="3"/>
  <c r="AA184" i="3"/>
  <c r="AA179" i="3"/>
  <c r="AA261" i="3"/>
  <c r="AA341" i="3"/>
  <c r="AA306" i="3"/>
  <c r="AA393" i="3"/>
  <c r="AA394" i="3"/>
  <c r="AA46" i="3"/>
  <c r="AA91" i="3"/>
  <c r="AA114" i="3"/>
  <c r="AA174" i="3"/>
  <c r="AA185" i="3"/>
  <c r="AA251" i="3"/>
  <c r="AA331" i="3"/>
  <c r="AA312" i="3"/>
  <c r="AA383" i="3"/>
  <c r="AA384" i="3"/>
  <c r="AA109" i="3"/>
  <c r="AA28" i="3"/>
  <c r="AA80" i="3"/>
  <c r="AA35" i="3"/>
  <c r="AA155" i="3"/>
  <c r="AA250" i="3"/>
  <c r="AA418" i="3"/>
  <c r="AA74" i="3"/>
  <c r="AA193" i="3"/>
  <c r="AA320" i="3"/>
  <c r="AA144" i="3"/>
  <c r="AA281" i="3"/>
  <c r="AA381" i="3"/>
  <c r="AA53" i="3"/>
  <c r="AA131" i="3"/>
  <c r="AA319" i="3"/>
  <c r="AA419" i="3"/>
  <c r="AA204" i="3"/>
  <c r="AA429" i="3"/>
  <c r="AA178" i="3"/>
  <c r="AA388" i="3"/>
  <c r="AA171" i="3"/>
  <c r="AA417" i="3"/>
  <c r="AA209" i="3"/>
  <c r="AA58" i="3"/>
  <c r="AA266" i="3"/>
  <c r="AA117" i="3"/>
  <c r="AA304" i="3"/>
  <c r="AA342" i="3"/>
  <c r="AA172" i="3"/>
  <c r="AC348" i="3"/>
  <c r="AA151" i="3"/>
  <c r="AA141" i="3"/>
  <c r="AB15" i="3"/>
  <c r="AB129" i="3"/>
  <c r="AB303" i="3"/>
  <c r="AB330" i="3"/>
  <c r="AB116" i="3"/>
  <c r="AB168" i="3"/>
  <c r="AB103" i="3"/>
  <c r="AB298" i="3"/>
  <c r="AB13" i="3"/>
  <c r="AB134" i="3"/>
  <c r="AB221" i="3"/>
  <c r="AB235" i="3"/>
  <c r="AB384" i="3"/>
  <c r="AB250" i="3"/>
  <c r="AB113" i="3"/>
  <c r="AB393" i="3"/>
  <c r="AB336" i="3"/>
  <c r="AB181" i="3"/>
  <c r="AB6" i="3"/>
  <c r="AB404" i="3"/>
  <c r="AB269" i="3"/>
  <c r="AB254" i="3"/>
  <c r="AB130" i="3"/>
  <c r="AB117" i="3"/>
  <c r="AB52" i="3"/>
  <c r="AB397" i="3"/>
  <c r="AB355" i="3"/>
  <c r="AB340" i="3"/>
  <c r="AB226" i="3"/>
  <c r="AB169" i="3"/>
  <c r="AB55" i="3"/>
  <c r="AB10" i="3"/>
  <c r="AB391" i="3"/>
  <c r="AB408" i="3"/>
  <c r="AB353" i="3"/>
  <c r="AB289" i="3"/>
  <c r="AB338" i="3"/>
  <c r="AB274" i="3"/>
  <c r="AB224" i="3"/>
  <c r="AB160" i="3"/>
  <c r="AB183" i="3"/>
  <c r="AB137" i="3"/>
  <c r="AB73" i="3"/>
  <c r="AB66" i="3"/>
  <c r="AB8" i="3"/>
  <c r="AB417" i="3"/>
  <c r="AB430" i="3"/>
  <c r="AB366" i="3"/>
  <c r="AB311" i="3"/>
  <c r="AB247" i="3"/>
  <c r="AB296" i="3"/>
  <c r="AB219" i="3"/>
  <c r="AB182" i="3"/>
  <c r="AB205" i="3"/>
  <c r="AB132" i="3"/>
  <c r="AB95" i="3"/>
  <c r="AB88" i="3"/>
  <c r="AB30" i="3"/>
  <c r="AB11" i="3"/>
  <c r="AB388" i="3"/>
  <c r="AB285" i="3"/>
  <c r="AB270" i="3"/>
  <c r="AB156" i="3"/>
  <c r="AB133" i="3"/>
  <c r="AB62" i="3"/>
  <c r="AB413" i="3"/>
  <c r="AB362" i="3"/>
  <c r="AB241" i="3"/>
  <c r="AB242" i="3"/>
  <c r="AB201" i="3"/>
  <c r="AB107" i="3"/>
  <c r="AB26" i="3"/>
  <c r="AB411" i="3"/>
  <c r="AB428" i="3"/>
  <c r="AB364" i="3"/>
  <c r="AB309" i="3"/>
  <c r="AB245" i="3"/>
  <c r="AB294" i="3"/>
  <c r="AB244" i="3"/>
  <c r="AB180" i="3"/>
  <c r="AB203" i="3"/>
  <c r="AB128" i="3"/>
  <c r="AB93" i="3"/>
  <c r="AB86" i="3"/>
  <c r="AB400" i="3"/>
  <c r="AB57" i="3"/>
  <c r="AB216" i="3"/>
  <c r="AB319" i="3"/>
  <c r="AB4" i="3"/>
  <c r="AB136" i="3"/>
  <c r="AB271" i="3"/>
  <c r="AB54" i="3"/>
  <c r="AB74" i="3"/>
  <c r="AB96" i="3"/>
  <c r="AB265" i="3"/>
  <c r="AB122" i="3"/>
  <c r="AB48" i="3"/>
  <c r="AB351" i="3"/>
  <c r="AB222" i="3"/>
  <c r="AB71" i="3"/>
  <c r="AB371" i="3"/>
  <c r="AB349" i="3"/>
  <c r="AB318" i="3"/>
  <c r="AB204" i="3"/>
  <c r="AB163" i="3"/>
  <c r="AB110" i="3"/>
  <c r="AB33" i="3"/>
  <c r="AB410" i="3"/>
  <c r="AB291" i="3"/>
  <c r="AB276" i="3"/>
  <c r="AB162" i="3"/>
  <c r="AB123" i="3"/>
  <c r="AB68" i="3"/>
  <c r="AB423" i="3"/>
  <c r="AB356" i="3"/>
  <c r="AB376" i="3"/>
  <c r="AB321" i="3"/>
  <c r="AB257" i="3"/>
  <c r="AB306" i="3"/>
  <c r="AB239" i="3"/>
  <c r="AB192" i="3"/>
  <c r="AB215" i="3"/>
  <c r="AB151" i="3"/>
  <c r="AB105" i="3"/>
  <c r="AB98" i="3"/>
  <c r="AB40" i="3"/>
  <c r="AB21" i="3"/>
  <c r="AB385" i="3"/>
  <c r="AB398" i="3"/>
  <c r="AB343" i="3"/>
  <c r="AB279" i="3"/>
  <c r="AB328" i="3"/>
  <c r="AB264" i="3"/>
  <c r="AB214" i="3"/>
  <c r="AB150" i="3"/>
  <c r="AB173" i="3"/>
  <c r="AB127" i="3"/>
  <c r="AB63" i="3"/>
  <c r="AB53" i="3"/>
  <c r="AB43" i="3"/>
  <c r="AB387" i="3"/>
  <c r="AB333" i="3"/>
  <c r="AB334" i="3"/>
  <c r="AB220" i="3"/>
  <c r="AB179" i="3"/>
  <c r="AB69" i="3"/>
  <c r="AB49" i="3"/>
  <c r="AB426" i="3"/>
  <c r="AB307" i="3"/>
  <c r="AB292" i="3"/>
  <c r="AB178" i="3"/>
  <c r="AB153" i="3"/>
  <c r="AB100" i="3"/>
  <c r="AB7" i="3"/>
  <c r="AB379" i="3"/>
  <c r="AB396" i="3"/>
  <c r="AB341" i="3"/>
  <c r="AB277" i="3"/>
  <c r="AB326" i="3"/>
  <c r="AB262" i="3"/>
  <c r="AB212" i="3"/>
  <c r="AB146" i="3"/>
  <c r="AB171" i="3"/>
  <c r="AB125" i="3"/>
  <c r="AB59" i="3"/>
  <c r="AB175" i="3"/>
  <c r="AB288" i="3"/>
  <c r="AB304" i="3"/>
  <c r="AB97" i="3"/>
  <c r="AB35" i="3"/>
  <c r="AB367" i="3"/>
  <c r="AB159" i="3"/>
  <c r="AB287" i="3"/>
  <c r="AB64" i="3"/>
  <c r="AB317" i="3"/>
  <c r="AB172" i="3"/>
  <c r="AB78" i="3"/>
  <c r="AB378" i="3"/>
  <c r="AB243" i="3"/>
  <c r="AB91" i="3"/>
  <c r="AB407" i="3"/>
  <c r="AB358" i="3"/>
  <c r="AB237" i="3"/>
  <c r="AB240" i="3"/>
  <c r="AB199" i="3"/>
  <c r="AB89" i="3"/>
  <c r="AB24" i="3"/>
  <c r="AB369" i="3"/>
  <c r="AB327" i="3"/>
  <c r="AB312" i="3"/>
  <c r="AB198" i="3"/>
  <c r="AB157" i="3"/>
  <c r="AB104" i="3"/>
  <c r="AB27" i="3"/>
  <c r="AB301" i="3"/>
  <c r="AB188" i="3"/>
  <c r="AB94" i="3"/>
  <c r="AB394" i="3"/>
  <c r="AB260" i="3"/>
  <c r="AB139" i="3"/>
  <c r="AB427" i="3"/>
  <c r="AB380" i="3"/>
  <c r="AB261" i="3"/>
  <c r="AB246" i="3"/>
  <c r="AB114" i="3"/>
  <c r="AB109" i="3"/>
  <c r="AB60" i="3"/>
  <c r="AB41" i="3"/>
  <c r="AB405" i="3"/>
  <c r="AB418" i="3"/>
  <c r="AB346" i="3"/>
  <c r="AB299" i="3"/>
  <c r="AB225" i="3"/>
  <c r="AB284" i="3"/>
  <c r="AB234" i="3"/>
  <c r="AB170" i="3"/>
  <c r="AB193" i="3"/>
  <c r="AB147" i="3"/>
  <c r="AB83" i="3"/>
  <c r="AB76" i="3"/>
  <c r="AB18" i="3"/>
  <c r="AB22" i="3"/>
  <c r="AB87" i="3"/>
  <c r="AB416" i="3"/>
  <c r="AB368" i="3"/>
  <c r="AB320" i="3"/>
  <c r="AB425" i="3"/>
  <c r="AB314" i="3"/>
  <c r="AB29" i="3"/>
  <c r="AB158" i="3"/>
  <c r="AB420" i="3"/>
  <c r="AB286" i="3"/>
  <c r="AB149" i="3"/>
  <c r="AB429" i="3"/>
  <c r="AB259" i="3"/>
  <c r="AB217" i="3"/>
  <c r="AB42" i="3"/>
  <c r="AB424" i="3"/>
  <c r="AB305" i="3"/>
  <c r="AB290" i="3"/>
  <c r="AB176" i="3"/>
  <c r="AB120" i="3"/>
  <c r="AB82" i="3"/>
  <c r="AB5" i="3"/>
  <c r="AB382" i="3"/>
  <c r="AB263" i="3"/>
  <c r="AB248" i="3"/>
  <c r="AB118" i="3"/>
  <c r="AB111" i="3"/>
  <c r="AB46" i="3"/>
  <c r="AB348" i="3"/>
  <c r="AB302" i="3"/>
  <c r="AB144" i="3"/>
  <c r="AB17" i="3"/>
  <c r="AB275" i="3"/>
  <c r="AB142" i="3"/>
  <c r="AB58" i="3"/>
  <c r="AB363" i="3"/>
  <c r="AB325" i="3"/>
  <c r="AB310" i="3"/>
  <c r="AB196" i="3"/>
  <c r="AB155" i="3"/>
  <c r="AB102" i="3"/>
  <c r="AB28" i="3"/>
  <c r="AB9" i="3"/>
  <c r="AB373" i="3"/>
  <c r="AB386" i="3"/>
  <c r="AB331" i="3"/>
  <c r="AB267" i="3"/>
  <c r="AB316" i="3"/>
  <c r="AB252" i="3"/>
  <c r="AB202" i="3"/>
  <c r="AB126" i="3"/>
  <c r="AB161" i="3"/>
  <c r="AB115" i="3"/>
  <c r="AB108" i="3"/>
  <c r="AB50" i="3"/>
  <c r="AB31" i="3"/>
  <c r="Z383" i="3"/>
  <c r="Z398" i="3"/>
  <c r="Z343" i="3"/>
  <c r="Z279" i="3"/>
  <c r="Z328" i="3"/>
  <c r="Z264" i="3"/>
  <c r="Z214" i="3"/>
  <c r="Z148" i="3"/>
  <c r="Z171" i="3"/>
  <c r="Z127" i="3"/>
  <c r="Z63" i="3"/>
  <c r="Z51" i="3"/>
  <c r="Z43" i="3"/>
  <c r="Z409" i="3"/>
  <c r="Z420" i="3"/>
  <c r="Z348" i="3"/>
  <c r="Z301" i="3"/>
  <c r="Z227" i="3"/>
  <c r="Z286" i="3"/>
  <c r="Z236" i="3"/>
  <c r="Z172" i="3"/>
  <c r="Z193" i="3"/>
  <c r="Z149" i="3"/>
  <c r="Z85" i="3"/>
  <c r="Z78" i="3"/>
  <c r="Z20" i="3"/>
  <c r="Z419" i="3"/>
  <c r="Z346" i="3"/>
  <c r="Z370" i="3"/>
  <c r="Z315" i="3"/>
  <c r="Z251" i="3"/>
  <c r="Z300" i="3"/>
  <c r="Z229" i="3"/>
  <c r="Z186" i="3"/>
  <c r="Z207" i="3"/>
  <c r="Z138" i="3"/>
  <c r="Z99" i="3"/>
  <c r="Z92" i="3"/>
  <c r="Z34" i="3"/>
  <c r="Z15" i="3"/>
  <c r="Z381" i="3"/>
  <c r="Z392" i="3"/>
  <c r="Z337" i="3"/>
  <c r="Z273" i="3"/>
  <c r="Z322" i="3"/>
  <c r="Z258" i="3"/>
  <c r="Z208" i="3"/>
  <c r="Z136" i="3"/>
  <c r="Z165" i="3"/>
  <c r="Z121" i="3"/>
  <c r="Z53" i="3"/>
  <c r="Z56" i="3"/>
  <c r="Z37" i="3"/>
  <c r="Z13" i="3"/>
  <c r="Z134" i="3"/>
  <c r="Z298" i="3"/>
  <c r="Z350" i="3"/>
  <c r="Z75" i="3"/>
  <c r="Z226" i="3"/>
  <c r="Z355" i="3"/>
  <c r="Z65" i="3"/>
  <c r="Z345" i="3"/>
  <c r="Z215" i="3"/>
  <c r="Z427" i="3"/>
  <c r="Z375" i="3"/>
  <c r="Z335" i="3"/>
  <c r="Z320" i="3"/>
  <c r="Z206" i="3"/>
  <c r="Z163" i="3"/>
  <c r="Z112" i="3"/>
  <c r="Z35" i="3"/>
  <c r="Z412" i="3"/>
  <c r="Z293" i="3"/>
  <c r="Z278" i="3"/>
  <c r="Z164" i="3"/>
  <c r="Z141" i="3"/>
  <c r="Z70" i="3"/>
  <c r="Z411" i="3"/>
  <c r="Z360" i="3"/>
  <c r="Z239" i="3"/>
  <c r="Z242" i="3"/>
  <c r="Z199" i="3"/>
  <c r="Z91" i="3"/>
  <c r="Z26" i="3"/>
  <c r="Z373" i="3"/>
  <c r="Z329" i="3"/>
  <c r="Z314" i="3"/>
  <c r="Z200" i="3"/>
  <c r="Z157" i="3"/>
  <c r="Z106" i="3"/>
  <c r="Z29" i="3"/>
  <c r="Z126" i="3"/>
  <c r="Z294" i="3"/>
  <c r="Z428" i="3"/>
  <c r="Z135" i="3"/>
  <c r="Z336" i="3"/>
  <c r="Z55" i="3"/>
  <c r="Z151" i="3"/>
  <c r="Z41" i="3"/>
  <c r="Z212" i="3"/>
  <c r="Z19" i="3"/>
  <c r="Y15" i="3"/>
  <c r="Y154" i="3"/>
  <c r="Y237" i="3"/>
  <c r="Y12" i="3"/>
  <c r="Y426" i="3"/>
  <c r="Y395" i="3"/>
  <c r="Y44" i="3"/>
  <c r="AB34" i="3"/>
  <c r="AB99" i="3"/>
  <c r="AB209" i="3"/>
  <c r="AB227" i="3"/>
  <c r="AB251" i="3"/>
  <c r="AB370" i="3"/>
  <c r="AB421" i="3"/>
  <c r="AB70" i="3"/>
  <c r="AB164" i="3"/>
  <c r="AB293" i="3"/>
  <c r="AB39" i="3"/>
  <c r="AB324" i="3"/>
  <c r="AB101" i="3"/>
  <c r="AB350" i="3"/>
  <c r="AB79" i="3"/>
  <c r="AB230" i="3"/>
  <c r="AB359" i="3"/>
  <c r="AB56" i="3"/>
  <c r="AB138" i="3"/>
  <c r="AB273" i="3"/>
  <c r="AB23" i="3"/>
  <c r="AB308" i="3"/>
  <c r="AB85" i="3"/>
  <c r="AB372" i="3"/>
  <c r="AB406" i="3"/>
  <c r="AB213" i="3"/>
  <c r="AB223" i="3"/>
  <c r="AB197" i="3"/>
  <c r="AB268" i="3"/>
  <c r="AB283" i="3"/>
  <c r="AB402" i="3"/>
  <c r="AB25" i="3"/>
  <c r="AB77" i="3"/>
  <c r="AB228" i="3"/>
  <c r="AB357" i="3"/>
  <c r="AB75" i="3"/>
  <c r="AB339" i="3"/>
  <c r="AB211" i="3"/>
  <c r="AB403" i="3"/>
  <c r="AB143" i="3"/>
  <c r="AB280" i="3"/>
  <c r="AB414" i="3"/>
  <c r="AB51" i="3"/>
  <c r="AB208" i="3"/>
  <c r="AB337" i="3"/>
  <c r="AB84" i="3"/>
  <c r="AB323" i="3"/>
  <c r="AB195" i="3"/>
  <c r="AB419" i="3"/>
  <c r="AB106" i="3"/>
  <c r="AB232" i="3"/>
  <c r="AB38" i="3"/>
  <c r="Y333" i="3"/>
  <c r="Y70" i="3"/>
  <c r="Y99" i="3"/>
  <c r="Y400" i="3"/>
  <c r="Y374" i="3"/>
  <c r="Y212" i="3"/>
  <c r="Y18" i="3"/>
  <c r="Y423" i="3"/>
  <c r="Y322" i="3"/>
  <c r="Y83" i="3"/>
  <c r="Y8" i="3"/>
  <c r="Y327" i="3"/>
  <c r="Y75" i="3"/>
  <c r="Y421" i="3"/>
  <c r="Y358" i="3"/>
  <c r="Y275" i="3"/>
  <c r="Y281" i="3"/>
  <c r="Y235" i="3"/>
  <c r="Y176" i="3"/>
  <c r="Y346" i="3"/>
  <c r="Y329" i="3"/>
  <c r="Y193" i="3"/>
  <c r="Y73" i="3"/>
  <c r="Y280" i="3"/>
  <c r="Y308" i="3"/>
  <c r="Y141" i="3"/>
  <c r="Y347" i="3"/>
  <c r="Y106" i="3"/>
  <c r="Y268" i="3"/>
  <c r="Y19" i="3"/>
  <c r="Y78" i="3"/>
  <c r="Y206" i="3"/>
  <c r="Y310" i="3"/>
  <c r="Y175" i="3"/>
  <c r="Y38" i="3"/>
  <c r="Y200" i="3"/>
  <c r="Y415" i="3"/>
  <c r="Z9" i="3"/>
  <c r="Z262" i="3"/>
  <c r="Z354" i="3"/>
  <c r="Z396" i="3"/>
  <c r="Z60" i="3"/>
  <c r="Z144" i="3"/>
  <c r="Z211" i="3"/>
  <c r="Z61" i="3"/>
  <c r="Z385" i="3"/>
  <c r="Z194" i="3"/>
  <c r="Z400" i="3"/>
  <c r="Z129" i="3"/>
  <c r="Z351" i="3"/>
  <c r="Z222" i="3"/>
  <c r="Z71" i="3"/>
  <c r="Z319" i="3"/>
  <c r="Z304" i="3"/>
  <c r="Z423" i="3"/>
  <c r="Z341" i="3"/>
  <c r="Z237" i="3"/>
  <c r="Z169" i="3"/>
  <c r="Z323" i="3"/>
  <c r="Z100" i="3"/>
  <c r="Z266" i="3"/>
  <c r="Z415" i="3"/>
  <c r="Z430" i="3"/>
  <c r="Z366" i="3"/>
  <c r="Z311" i="3"/>
  <c r="Z247" i="3"/>
  <c r="Z296" i="3"/>
  <c r="Z221" i="3"/>
  <c r="Z182" i="3"/>
  <c r="Z203" i="3"/>
  <c r="Z130" i="3"/>
  <c r="Z95" i="3"/>
  <c r="Z88" i="3"/>
  <c r="Z30" i="3"/>
  <c r="Z11" i="3"/>
  <c r="Z377" i="3"/>
  <c r="Z388" i="3"/>
  <c r="Z333" i="3"/>
  <c r="Z269" i="3"/>
  <c r="Z318" i="3"/>
  <c r="Z254" i="3"/>
  <c r="Z204" i="3"/>
  <c r="Z128" i="3"/>
  <c r="Z161" i="3"/>
  <c r="Z117" i="3"/>
  <c r="Z110" i="3"/>
  <c r="Z52" i="3"/>
  <c r="Z33" i="3"/>
  <c r="Z387" i="3"/>
  <c r="Z402" i="3"/>
  <c r="Z347" i="3"/>
  <c r="Z283" i="3"/>
  <c r="Z332" i="3"/>
  <c r="Z268" i="3"/>
  <c r="Z218" i="3"/>
  <c r="Z154" i="3"/>
  <c r="Z175" i="3"/>
  <c r="Z131" i="3"/>
  <c r="Z67" i="3"/>
  <c r="Z59" i="3"/>
  <c r="Z47" i="3"/>
  <c r="Z413" i="3"/>
  <c r="Z424" i="3"/>
  <c r="Z356" i="3"/>
  <c r="Z305" i="3"/>
  <c r="Z235" i="3"/>
  <c r="Z290" i="3"/>
  <c r="Z240" i="3"/>
  <c r="Z176" i="3"/>
  <c r="Z197" i="3"/>
  <c r="Z118" i="3"/>
  <c r="Z89" i="3"/>
  <c r="Z82" i="3"/>
  <c r="Z24" i="3"/>
  <c r="Z5" i="3"/>
  <c r="Z90" i="3"/>
  <c r="Z184" i="3"/>
  <c r="Z313" i="3"/>
  <c r="Z10" i="3"/>
  <c r="Z183" i="3"/>
  <c r="Z340" i="3"/>
  <c r="Z395" i="3"/>
  <c r="Z216" i="3"/>
  <c r="Z42" i="3"/>
  <c r="Z259" i="3"/>
  <c r="Z390" i="3"/>
  <c r="Z271" i="3"/>
  <c r="Z256" i="3"/>
  <c r="Z132" i="3"/>
  <c r="Z119" i="3"/>
  <c r="Z54" i="3"/>
  <c r="Z401" i="3"/>
  <c r="Z357" i="3"/>
  <c r="Z342" i="3"/>
  <c r="Z228" i="3"/>
  <c r="Z185" i="3"/>
  <c r="Z77" i="3"/>
  <c r="Z12" i="3"/>
  <c r="Z426" i="3"/>
  <c r="Z307" i="3"/>
  <c r="Z292" i="3"/>
  <c r="Z178" i="3"/>
  <c r="Z122" i="3"/>
  <c r="Z84" i="3"/>
  <c r="Z7" i="3"/>
  <c r="Z384" i="3"/>
  <c r="Z265" i="3"/>
  <c r="Z250" i="3"/>
  <c r="Z120" i="3"/>
  <c r="Z113" i="3"/>
  <c r="Z48" i="3"/>
  <c r="Z86" i="3"/>
  <c r="Z180" i="3"/>
  <c r="Z309" i="3"/>
  <c r="Z6" i="3"/>
  <c r="Z158" i="3"/>
  <c r="Z406" i="3"/>
  <c r="Z281" i="3"/>
  <c r="Z362" i="3"/>
  <c r="Z103" i="3"/>
  <c r="Z255" i="3"/>
  <c r="Z146" i="3"/>
  <c r="Y332" i="3"/>
  <c r="Y26" i="3"/>
  <c r="Y356" i="3"/>
  <c r="Y295" i="3"/>
  <c r="Y256" i="3"/>
  <c r="Y23" i="3"/>
  <c r="Y383" i="3"/>
  <c r="AB92" i="3"/>
  <c r="AB140" i="3"/>
  <c r="AB186" i="3"/>
  <c r="AB300" i="3"/>
  <c r="AB315" i="3"/>
  <c r="AB352" i="3"/>
  <c r="AB12" i="3"/>
  <c r="AB141" i="3"/>
  <c r="AB278" i="3"/>
  <c r="AB412" i="3"/>
  <c r="AB185" i="3"/>
  <c r="AB381" i="3"/>
  <c r="AB231" i="3"/>
  <c r="AB14" i="3"/>
  <c r="AB189" i="3"/>
  <c r="AB344" i="3"/>
  <c r="AB401" i="3"/>
  <c r="AB121" i="3"/>
  <c r="AB258" i="3"/>
  <c r="AB392" i="3"/>
  <c r="AB124" i="3"/>
  <c r="AB365" i="3"/>
  <c r="AB236" i="3"/>
  <c r="AB135" i="3"/>
  <c r="AB200" i="3"/>
  <c r="AB165" i="3"/>
  <c r="AB81" i="3"/>
  <c r="AB345" i="3"/>
  <c r="X30" i="3"/>
  <c r="X63" i="3"/>
  <c r="X90" i="3"/>
  <c r="X192" i="3"/>
  <c r="X231" i="3"/>
  <c r="X220" i="3"/>
  <c r="X360" i="3"/>
  <c r="X402" i="3"/>
  <c r="X19" i="3"/>
  <c r="X84" i="3"/>
  <c r="X194" i="3"/>
  <c r="X233" i="3"/>
  <c r="X224" i="3"/>
  <c r="X419" i="3"/>
  <c r="AC358" i="3"/>
  <c r="AC408" i="3"/>
  <c r="AC232" i="3"/>
  <c r="AC346" i="3"/>
  <c r="AC384" i="3"/>
  <c r="AC329" i="3"/>
  <c r="AC350" i="3"/>
  <c r="AC412" i="3"/>
  <c r="AC425" i="3"/>
  <c r="AC361" i="3"/>
  <c r="AC306" i="3"/>
  <c r="AC240" i="3"/>
  <c r="AC293" i="3"/>
  <c r="AC310" i="3"/>
  <c r="AC305" i="3"/>
  <c r="AC326" i="3"/>
  <c r="AC321" i="3"/>
  <c r="AC416" i="3"/>
  <c r="AC420" i="3"/>
  <c r="AC431" i="3"/>
  <c r="AC312" i="3"/>
  <c r="AC299" i="3"/>
  <c r="AC185" i="3"/>
  <c r="AC135" i="3"/>
  <c r="AC91" i="3"/>
  <c r="AC61" i="3"/>
  <c r="AC126" i="3"/>
  <c r="AC149" i="3"/>
  <c r="AC263" i="3"/>
  <c r="AC276" i="3"/>
  <c r="AC395" i="3"/>
  <c r="AC301" i="3"/>
  <c r="AC6" i="3"/>
  <c r="AC83" i="3"/>
  <c r="AC119" i="3"/>
  <c r="AC177" i="3"/>
  <c r="AC291" i="3"/>
  <c r="AC304" i="3"/>
  <c r="AC423" i="3"/>
  <c r="AC298" i="3"/>
  <c r="AC282" i="3"/>
  <c r="AC374" i="3"/>
  <c r="AC319" i="3"/>
  <c r="AC164" i="3"/>
  <c r="AC34" i="3"/>
  <c r="AC183" i="3"/>
  <c r="AC131" i="3"/>
  <c r="AC283" i="3"/>
  <c r="AC198" i="3"/>
  <c r="AC50" i="3"/>
  <c r="AC36" i="3"/>
  <c r="AC422" i="3"/>
  <c r="AC212" i="3"/>
  <c r="AC223" i="3"/>
  <c r="AC123" i="3"/>
  <c r="AC69" i="3"/>
  <c r="AC187" i="3"/>
  <c r="AC47" i="3"/>
  <c r="AC221" i="3"/>
  <c r="AC166" i="3"/>
  <c r="AC12" i="3"/>
  <c r="AC84" i="3"/>
  <c r="AC114" i="3"/>
  <c r="AC16" i="3"/>
  <c r="AC51" i="3"/>
  <c r="AC424" i="3"/>
  <c r="AC370" i="3"/>
  <c r="AC148" i="3"/>
  <c r="AC160" i="3"/>
  <c r="AC315" i="3"/>
  <c r="AC251" i="3"/>
  <c r="AC35" i="3"/>
  <c r="AC171" i="3"/>
  <c r="AC201" i="3"/>
  <c r="AC194" i="3"/>
  <c r="AC147" i="3"/>
  <c r="AC49" i="3"/>
  <c r="AC44" i="3"/>
  <c r="AC64" i="3"/>
  <c r="AC210" i="3"/>
  <c r="AC5" i="3"/>
  <c r="AC335" i="3"/>
  <c r="AC266" i="3"/>
  <c r="AC73" i="3"/>
  <c r="AC139" i="3"/>
  <c r="AC227" i="3"/>
  <c r="AC271" i="3"/>
  <c r="AC333" i="3"/>
  <c r="AC27" i="3"/>
  <c r="AC85" i="3"/>
  <c r="AC92" i="3"/>
  <c r="AC162" i="3"/>
  <c r="AC159" i="3"/>
  <c r="AC243" i="3"/>
  <c r="AC95" i="3"/>
  <c r="AC189" i="3"/>
  <c r="AC316" i="3"/>
  <c r="AC20" i="3"/>
  <c r="AC39" i="3"/>
  <c r="AC97" i="3"/>
  <c r="AC108" i="3"/>
  <c r="AC178" i="3"/>
  <c r="AC175" i="3"/>
  <c r="AC245" i="3"/>
  <c r="AC82" i="3"/>
  <c r="AC233" i="3"/>
  <c r="AC360" i="3"/>
  <c r="AC112" i="3"/>
  <c r="AC158" i="3"/>
  <c r="AC121" i="3"/>
  <c r="AC199" i="3"/>
  <c r="AC79" i="3"/>
  <c r="AC150" i="3"/>
  <c r="AC173" i="3"/>
  <c r="AC287" i="3"/>
  <c r="AC300" i="3"/>
  <c r="AC419" i="3"/>
  <c r="AC347" i="3"/>
  <c r="AC270" i="3"/>
  <c r="AC224" i="3"/>
  <c r="AC394" i="3"/>
  <c r="AC407" i="3"/>
  <c r="AC352" i="3"/>
  <c r="AC288" i="3"/>
  <c r="AC339" i="3"/>
  <c r="AC275" i="3"/>
  <c r="AC225" i="3"/>
  <c r="AC161" i="3"/>
  <c r="AC184" i="3"/>
  <c r="AC138" i="3"/>
  <c r="AC74" i="3"/>
  <c r="AC67" i="3"/>
  <c r="AC9" i="3"/>
  <c r="AC4" i="3"/>
  <c r="AC385" i="3"/>
  <c r="AC430" i="3"/>
  <c r="AC366" i="3"/>
  <c r="AC379" i="3"/>
  <c r="AC324" i="3"/>
  <c r="AC260" i="3"/>
  <c r="AC311" i="3"/>
  <c r="AC247" i="3"/>
  <c r="AC197" i="3"/>
  <c r="AC117" i="3"/>
  <c r="AC156" i="3"/>
  <c r="AC110" i="3"/>
  <c r="AC103" i="3"/>
  <c r="AC45" i="3"/>
  <c r="AC26" i="3"/>
  <c r="AC254" i="3"/>
  <c r="AC14" i="3"/>
  <c r="AC214" i="3"/>
  <c r="AC68" i="3"/>
  <c r="AC211" i="3"/>
  <c r="AC124" i="3"/>
  <c r="AC104" i="3"/>
  <c r="AC32" i="3"/>
  <c r="AC383" i="3"/>
  <c r="AC77" i="3"/>
  <c r="AC235" i="3"/>
  <c r="AC264" i="3"/>
  <c r="AC52" i="3"/>
  <c r="AC140" i="3"/>
  <c r="AC207" i="3"/>
  <c r="AC180" i="3"/>
  <c r="AC390" i="3"/>
  <c r="AC15" i="3"/>
  <c r="AC80" i="3"/>
  <c r="AC137" i="3"/>
  <c r="AC134" i="3"/>
  <c r="AC403" i="3"/>
  <c r="AC40" i="3"/>
  <c r="AC59" i="3"/>
  <c r="AC58" i="3"/>
  <c r="AC136" i="3"/>
  <c r="AC202" i="3"/>
  <c r="AC203" i="3"/>
  <c r="AC18" i="3"/>
  <c r="AC143" i="3"/>
  <c r="AC303" i="3"/>
  <c r="AC351" i="3"/>
  <c r="AC417" i="3"/>
  <c r="AC7" i="3"/>
  <c r="AC65" i="3"/>
  <c r="AC72" i="3"/>
  <c r="AC115" i="3"/>
  <c r="AC113" i="3"/>
  <c r="AC219" i="3"/>
  <c r="AC17" i="3"/>
  <c r="AC192" i="3"/>
  <c r="AC220" i="3"/>
  <c r="AC402" i="3"/>
  <c r="AC362" i="3"/>
  <c r="AC144" i="3"/>
  <c r="AC190" i="3"/>
  <c r="AC167" i="3"/>
  <c r="AC231" i="3"/>
  <c r="AC21" i="3"/>
  <c r="AC86" i="3"/>
  <c r="AC196" i="3"/>
  <c r="AC237" i="3"/>
  <c r="AC228" i="3"/>
  <c r="AC349" i="3"/>
  <c r="AC406" i="3"/>
  <c r="AC269" i="3"/>
  <c r="AC381" i="3"/>
  <c r="AC369" i="3"/>
  <c r="AC426" i="3"/>
  <c r="AC359" i="3"/>
  <c r="AC375" i="3"/>
  <c r="AC320" i="3"/>
  <c r="AC256" i="3"/>
  <c r="AC307" i="3"/>
  <c r="AC242" i="3"/>
  <c r="AC193" i="3"/>
  <c r="AC216" i="3"/>
  <c r="AC152" i="3"/>
  <c r="AC106" i="3"/>
  <c r="AC99" i="3"/>
  <c r="AC41" i="3"/>
  <c r="AC22" i="3"/>
  <c r="AC373" i="3"/>
  <c r="AC250" i="3"/>
  <c r="AC398" i="3"/>
  <c r="AC411" i="3"/>
  <c r="AC356" i="3"/>
  <c r="AC292" i="3"/>
  <c r="AC343" i="3"/>
  <c r="AC279" i="3"/>
  <c r="AC229" i="3"/>
  <c r="AC165" i="3"/>
  <c r="AC188" i="3"/>
  <c r="AC142" i="3"/>
  <c r="AC78" i="3"/>
  <c r="AC71" i="3"/>
  <c r="AC13" i="3"/>
  <c r="X25" i="3"/>
  <c r="X107" i="3"/>
  <c r="X146" i="3"/>
  <c r="X167" i="3"/>
  <c r="X283" i="3"/>
  <c r="X296" i="3"/>
  <c r="X417" i="3"/>
  <c r="X77" i="3"/>
  <c r="X148" i="3"/>
  <c r="X169" i="3"/>
  <c r="X285" i="3"/>
  <c r="X298" i="3"/>
  <c r="AC400" i="3"/>
  <c r="AC345" i="3"/>
  <c r="AC353" i="3"/>
  <c r="AC388" i="3"/>
  <c r="AC342" i="3"/>
  <c r="AC392" i="3"/>
  <c r="AC337" i="3"/>
  <c r="AC380" i="3"/>
  <c r="AC393" i="3"/>
  <c r="AC338" i="3"/>
  <c r="AC274" i="3"/>
  <c r="AC325" i="3"/>
  <c r="AC261" i="3"/>
  <c r="AC355" i="3"/>
  <c r="AC376" i="3"/>
  <c r="AC262" i="3"/>
  <c r="AC317" i="3"/>
  <c r="AC418" i="3"/>
  <c r="AC367" i="3"/>
  <c r="AC248" i="3"/>
  <c r="AC226" i="3"/>
  <c r="AC208" i="3"/>
  <c r="AC98" i="3"/>
  <c r="AC33" i="3"/>
  <c r="AC365" i="3"/>
  <c r="AC42" i="3"/>
  <c r="AC62" i="3"/>
  <c r="AC172" i="3"/>
  <c r="AC213" i="3"/>
  <c r="AC327" i="3"/>
  <c r="AC340" i="3"/>
  <c r="AC382" i="3"/>
  <c r="AC404" i="3"/>
  <c r="AC25" i="3"/>
  <c r="AC90" i="3"/>
  <c r="AC200" i="3"/>
  <c r="AC241" i="3"/>
  <c r="AC236" i="3"/>
  <c r="AC357" i="3"/>
  <c r="AC410" i="3"/>
  <c r="AC249" i="3"/>
  <c r="AC332" i="3"/>
  <c r="AC205" i="3"/>
  <c r="AC111" i="3"/>
  <c r="AC222" i="3"/>
  <c r="AC206" i="3"/>
  <c r="AC96" i="3"/>
  <c r="AC415" i="3"/>
  <c r="AC146" i="3"/>
  <c r="AC195" i="3"/>
  <c r="AC132" i="3"/>
  <c r="AC55" i="3"/>
  <c r="AC252" i="3"/>
  <c r="AC37" i="3"/>
  <c r="AC129" i="3"/>
  <c r="AC76" i="3"/>
  <c r="AC11" i="3"/>
  <c r="AC157" i="3"/>
  <c r="AC120" i="3"/>
  <c r="AC230" i="3"/>
  <c r="AC89" i="3"/>
  <c r="AC328" i="3"/>
  <c r="AC170" i="3"/>
  <c r="AC30" i="3"/>
  <c r="X14" i="3"/>
  <c r="X34" i="3"/>
  <c r="X33" i="3"/>
  <c r="X67" i="3"/>
  <c r="X111" i="3"/>
  <c r="X98" i="3"/>
  <c r="X150" i="3"/>
  <c r="X196" i="3"/>
  <c r="X171" i="3"/>
  <c r="X235" i="3"/>
  <c r="X287" i="3"/>
  <c r="X228" i="3"/>
  <c r="X300" i="3"/>
  <c r="X349" i="3"/>
  <c r="X421" i="3"/>
  <c r="X406" i="3"/>
  <c r="X23" i="3"/>
  <c r="X81" i="3"/>
  <c r="X88" i="3"/>
  <c r="X115" i="3"/>
  <c r="X198" i="3"/>
  <c r="X173" i="3"/>
  <c r="X237" i="3"/>
  <c r="X289" i="3"/>
  <c r="X232" i="3"/>
  <c r="X270" i="3"/>
  <c r="X371" i="3"/>
  <c r="X420" i="3"/>
  <c r="X18" i="3"/>
  <c r="X38" i="3"/>
  <c r="X17" i="3"/>
  <c r="X37" i="3"/>
  <c r="X57" i="3"/>
  <c r="X75" i="3"/>
  <c r="X95" i="3"/>
  <c r="X54" i="3"/>
  <c r="X82" i="3"/>
  <c r="X102" i="3"/>
  <c r="X130" i="3"/>
  <c r="X135" i="3"/>
  <c r="X176" i="3"/>
  <c r="X208" i="3"/>
  <c r="X151" i="3"/>
  <c r="X183" i="3"/>
  <c r="X215" i="3"/>
  <c r="X222" i="3"/>
  <c r="X267" i="3"/>
  <c r="X299" i="3"/>
  <c r="X331" i="3"/>
  <c r="X248" i="3"/>
  <c r="X280" i="3"/>
  <c r="X312" i="3"/>
  <c r="X344" i="3"/>
  <c r="X369" i="3"/>
  <c r="X401" i="3"/>
  <c r="X347" i="3"/>
  <c r="X386" i="3"/>
  <c r="X418" i="3"/>
  <c r="X16" i="3"/>
  <c r="X48" i="3"/>
  <c r="X35" i="3"/>
  <c r="X60" i="3"/>
  <c r="X93" i="3"/>
  <c r="X68" i="3"/>
  <c r="X100" i="3"/>
  <c r="X132" i="3"/>
  <c r="X139" i="3"/>
  <c r="X178" i="3"/>
  <c r="X210" i="3"/>
  <c r="X153" i="3"/>
  <c r="X185" i="3"/>
  <c r="X217" i="3"/>
  <c r="X226" i="3"/>
  <c r="X269" i="3"/>
  <c r="X301" i="3"/>
  <c r="X333" i="3"/>
  <c r="X250" i="3"/>
  <c r="X282" i="3"/>
  <c r="X330" i="3"/>
  <c r="X387" i="3"/>
  <c r="X372" i="3"/>
  <c r="Y413" i="3"/>
  <c r="Y428" i="3"/>
  <c r="Y144" i="3"/>
  <c r="X9" i="3"/>
  <c r="X53" i="3"/>
  <c r="X91" i="3"/>
  <c r="X74" i="3"/>
  <c r="X118" i="3"/>
  <c r="X164" i="3"/>
  <c r="X129" i="3"/>
  <c r="X203" i="3"/>
  <c r="X255" i="3"/>
  <c r="X319" i="3"/>
  <c r="X268" i="3"/>
  <c r="X332" i="3"/>
  <c r="X389" i="3"/>
  <c r="X374" i="3"/>
  <c r="X36" i="3"/>
  <c r="X55" i="3"/>
  <c r="X50" i="3"/>
  <c r="X120" i="3"/>
  <c r="X166" i="3"/>
  <c r="X133" i="3"/>
  <c r="X205" i="3"/>
  <c r="X257" i="3"/>
  <c r="X321" i="3"/>
  <c r="X314" i="3"/>
  <c r="X351" i="3"/>
  <c r="X22" i="3"/>
  <c r="X46" i="3"/>
  <c r="X21" i="3"/>
  <c r="X41" i="3"/>
  <c r="X56" i="3"/>
  <c r="X79" i="3"/>
  <c r="X99" i="3"/>
  <c r="X66" i="3"/>
  <c r="X86" i="3"/>
  <c r="X106" i="3"/>
  <c r="X134" i="3"/>
  <c r="X143" i="3"/>
  <c r="X180" i="3"/>
  <c r="X212" i="3"/>
  <c r="X155" i="3"/>
  <c r="X187" i="3"/>
  <c r="X219" i="3"/>
  <c r="X230" i="3"/>
  <c r="X271" i="3"/>
  <c r="X303" i="3"/>
  <c r="X335" i="3"/>
  <c r="X252" i="3"/>
  <c r="X284" i="3"/>
  <c r="X316" i="3"/>
  <c r="X348" i="3"/>
  <c r="X373" i="3"/>
  <c r="X405" i="3"/>
  <c r="X355" i="3"/>
  <c r="X390" i="3"/>
  <c r="X422" i="3"/>
  <c r="X20" i="3"/>
  <c r="X7" i="3"/>
  <c r="X39" i="3"/>
  <c r="X65" i="3"/>
  <c r="X97" i="3"/>
  <c r="X72" i="3"/>
  <c r="X104" i="3"/>
  <c r="X136" i="3"/>
  <c r="X147" i="3"/>
  <c r="X182" i="3"/>
  <c r="X214" i="3"/>
  <c r="X157" i="3"/>
  <c r="X189" i="3"/>
  <c r="X221" i="3"/>
  <c r="X234" i="3"/>
  <c r="X273" i="3"/>
  <c r="X305" i="3"/>
  <c r="X337" i="3"/>
  <c r="X254" i="3"/>
  <c r="X286" i="3"/>
  <c r="X346" i="3"/>
  <c r="X403" i="3"/>
  <c r="X6" i="3"/>
  <c r="X4" i="3"/>
  <c r="X416" i="3"/>
  <c r="X400" i="3"/>
  <c r="X384" i="3"/>
  <c r="X368" i="3"/>
  <c r="X431" i="3"/>
  <c r="X415" i="3"/>
  <c r="X399" i="3"/>
  <c r="X383" i="3"/>
  <c r="X367" i="3"/>
  <c r="X358" i="3"/>
  <c r="X342" i="3"/>
  <c r="X326" i="3"/>
  <c r="X310" i="3"/>
  <c r="X294" i="3"/>
  <c r="X278" i="3"/>
  <c r="X262" i="3"/>
  <c r="X246" i="3"/>
  <c r="X345" i="3"/>
  <c r="X329" i="3"/>
  <c r="X313" i="3"/>
  <c r="X297" i="3"/>
  <c r="X281" i="3"/>
  <c r="X265" i="3"/>
  <c r="X249" i="3"/>
  <c r="X245" i="3"/>
  <c r="X229" i="3"/>
  <c r="X213" i="3"/>
  <c r="X197" i="3"/>
  <c r="X181" i="3"/>
  <c r="X165" i="3"/>
  <c r="X149" i="3"/>
  <c r="X117" i="3"/>
  <c r="X206" i="3"/>
  <c r="X190" i="3"/>
  <c r="X174" i="3"/>
  <c r="X158" i="3"/>
  <c r="X131" i="3"/>
  <c r="X144" i="3"/>
  <c r="X128" i="3"/>
  <c r="X112" i="3"/>
  <c r="X96" i="3"/>
  <c r="X80" i="3"/>
  <c r="X64" i="3"/>
  <c r="X105" i="3"/>
  <c r="X89" i="3"/>
  <c r="X73" i="3"/>
  <c r="X52" i="3"/>
  <c r="X47" i="3"/>
  <c r="X31" i="3"/>
  <c r="X15" i="3"/>
  <c r="X44" i="3"/>
  <c r="X28" i="3"/>
  <c r="X12" i="3"/>
  <c r="X430" i="3"/>
  <c r="X414" i="3"/>
  <c r="X398" i="3"/>
  <c r="X382" i="3"/>
  <c r="X366" i="3"/>
  <c r="X429" i="3"/>
  <c r="X413" i="3"/>
  <c r="X397" i="3"/>
  <c r="X381" i="3"/>
  <c r="X365" i="3"/>
  <c r="X356" i="3"/>
  <c r="X340" i="3"/>
  <c r="X324" i="3"/>
  <c r="X308" i="3"/>
  <c r="X292" i="3"/>
  <c r="X276" i="3"/>
  <c r="X260" i="3"/>
  <c r="X244" i="3"/>
  <c r="X343" i="3"/>
  <c r="X327" i="3"/>
  <c r="X311" i="3"/>
  <c r="X295" i="3"/>
  <c r="X279" i="3"/>
  <c r="X263" i="3"/>
  <c r="X247" i="3"/>
  <c r="X243" i="3"/>
  <c r="X227" i="3"/>
  <c r="X211" i="3"/>
  <c r="X195" i="3"/>
  <c r="X179" i="3"/>
  <c r="X163" i="3"/>
  <c r="X145" i="3"/>
  <c r="X113" i="3"/>
  <c r="X204" i="3"/>
  <c r="X188" i="3"/>
  <c r="X172" i="3"/>
  <c r="X156" i="3"/>
  <c r="X127" i="3"/>
  <c r="X142" i="3"/>
  <c r="X126" i="3"/>
  <c r="X110" i="3"/>
  <c r="X94" i="3"/>
  <c r="X78" i="3"/>
  <c r="X62" i="3"/>
  <c r="X103" i="3"/>
  <c r="X87" i="3"/>
  <c r="X71" i="3"/>
  <c r="X61" i="3"/>
  <c r="X45" i="3"/>
  <c r="X29" i="3"/>
  <c r="X13" i="3"/>
  <c r="X42" i="3"/>
  <c r="X26" i="3"/>
  <c r="X10" i="3"/>
  <c r="X412" i="3"/>
  <c r="X396" i="3"/>
  <c r="X364" i="3"/>
  <c r="X427" i="3"/>
  <c r="X395" i="3"/>
  <c r="X379" i="3"/>
  <c r="X354" i="3"/>
  <c r="X322" i="3"/>
  <c r="X306" i="3"/>
  <c r="X274" i="3"/>
  <c r="X258" i="3"/>
  <c r="X341" i="3"/>
  <c r="X325" i="3"/>
  <c r="X293" i="3"/>
  <c r="X277" i="3"/>
  <c r="X242" i="3"/>
  <c r="X241" i="3"/>
  <c r="X209" i="3"/>
  <c r="X193" i="3"/>
  <c r="X161" i="3"/>
  <c r="X218" i="3"/>
  <c r="X202" i="3"/>
  <c r="X170" i="3"/>
  <c r="X154" i="3"/>
  <c r="X140" i="3"/>
  <c r="X108" i="3"/>
  <c r="X92" i="3"/>
  <c r="X58" i="3"/>
  <c r="X101" i="3"/>
  <c r="X69" i="3"/>
  <c r="X59" i="3"/>
  <c r="X27" i="3"/>
  <c r="X40" i="3"/>
  <c r="X8" i="3"/>
  <c r="X426" i="3"/>
  <c r="X410" i="3"/>
  <c r="X394" i="3"/>
  <c r="X363" i="3"/>
  <c r="X425" i="3"/>
  <c r="X409" i="3"/>
  <c r="X393" i="3"/>
  <c r="X377" i="3"/>
  <c r="X352" i="3"/>
  <c r="X336" i="3"/>
  <c r="X320" i="3"/>
  <c r="X288" i="3"/>
  <c r="X272" i="3"/>
  <c r="X236" i="3"/>
  <c r="X323" i="3"/>
  <c r="X307" i="3"/>
  <c r="X275" i="3"/>
  <c r="X259" i="3"/>
  <c r="X239" i="3"/>
  <c r="X223" i="3"/>
  <c r="X191" i="3"/>
  <c r="X175" i="3"/>
  <c r="X137" i="3"/>
  <c r="X216" i="3"/>
  <c r="X184" i="3"/>
  <c r="X168" i="3"/>
  <c r="X119" i="3"/>
  <c r="X122" i="3"/>
  <c r="X428" i="3"/>
  <c r="X380" i="3"/>
  <c r="X411" i="3"/>
  <c r="X361" i="3"/>
  <c r="X338" i="3"/>
  <c r="X290" i="3"/>
  <c r="X240" i="3"/>
  <c r="X309" i="3"/>
  <c r="X261" i="3"/>
  <c r="X225" i="3"/>
  <c r="X177" i="3"/>
  <c r="X141" i="3"/>
  <c r="X186" i="3"/>
  <c r="X123" i="3"/>
  <c r="X124" i="3"/>
  <c r="X76" i="3"/>
  <c r="X85" i="3"/>
  <c r="X43" i="3"/>
  <c r="X11" i="3"/>
  <c r="X24" i="3"/>
  <c r="X378" i="3"/>
  <c r="X357" i="3"/>
  <c r="X304" i="3"/>
  <c r="X256" i="3"/>
  <c r="X339" i="3"/>
  <c r="X291" i="3"/>
  <c r="X238" i="3"/>
  <c r="X207" i="3"/>
  <c r="X159" i="3"/>
  <c r="X200" i="3"/>
  <c r="X152" i="3"/>
  <c r="X138" i="3"/>
  <c r="X424" i="3"/>
  <c r="X408" i="3"/>
  <c r="X392" i="3"/>
  <c r="X376" i="3"/>
  <c r="X359" i="3"/>
  <c r="X423" i="3"/>
  <c r="X407" i="3"/>
  <c r="X391" i="3"/>
  <c r="X375" i="3"/>
  <c r="X353" i="3"/>
  <c r="X350" i="3"/>
  <c r="X334" i="3"/>
  <c r="X318" i="3"/>
  <c r="X302" i="3"/>
  <c r="AB431" i="3"/>
  <c r="AB255" i="3"/>
  <c r="AB145" i="3"/>
  <c r="AB361" i="3"/>
  <c r="AB112" i="3"/>
  <c r="AB206" i="3"/>
  <c r="AB335" i="3"/>
  <c r="AB32" i="3"/>
  <c r="AB207" i="3"/>
  <c r="AB249" i="3"/>
  <c r="AB415" i="3"/>
  <c r="AB148" i="3"/>
  <c r="AB360" i="3"/>
  <c r="AB282" i="3"/>
  <c r="Y13" i="3"/>
  <c r="Y52" i="3"/>
  <c r="Y382" i="3"/>
  <c r="Y120" i="3"/>
  <c r="Y250" i="3"/>
  <c r="Y345" i="3"/>
  <c r="AB422" i="3"/>
  <c r="AB174" i="3"/>
  <c r="AB238" i="3"/>
  <c r="AB281" i="3"/>
  <c r="AB383" i="3"/>
  <c r="AB266" i="3"/>
  <c r="Y288" i="3"/>
  <c r="Y265" i="3"/>
  <c r="AB374" i="3"/>
  <c r="AB191" i="3"/>
  <c r="AB399" i="3"/>
  <c r="AB119" i="3"/>
  <c r="AB256" i="3"/>
  <c r="AB390" i="3"/>
  <c r="AB90" i="3"/>
  <c r="AB184" i="3"/>
  <c r="AB313" i="3"/>
  <c r="AB19" i="3"/>
  <c r="AB190" i="3"/>
  <c r="AB16" i="3"/>
  <c r="AB297" i="3"/>
  <c r="Y35" i="3"/>
  <c r="Y145" i="3"/>
  <c r="Y40" i="3"/>
  <c r="Y328" i="3"/>
  <c r="Y239" i="3"/>
  <c r="AB65" i="3"/>
  <c r="AB45" i="3"/>
  <c r="AB354" i="3"/>
  <c r="AB80" i="3"/>
  <c r="AB409" i="3"/>
  <c r="AB233" i="3"/>
  <c r="Y58" i="3"/>
  <c r="Y187" i="3"/>
  <c r="Y49" i="3"/>
  <c r="Y277" i="3"/>
  <c r="Y307" i="3"/>
  <c r="Y301" i="3"/>
  <c r="Y67" i="3"/>
  <c r="Y318" i="3"/>
  <c r="Y260" i="3"/>
  <c r="Y210" i="3"/>
  <c r="Y319" i="3"/>
  <c r="Y97" i="3"/>
  <c r="Y199" i="3"/>
  <c r="Y33" i="3"/>
  <c r="Y410" i="3"/>
  <c r="Y303" i="3"/>
  <c r="Y240" i="3"/>
  <c r="Y422" i="3"/>
  <c r="Y363" i="3"/>
  <c r="Y270" i="3"/>
  <c r="Y409" i="3"/>
  <c r="Y100" i="3"/>
  <c r="Y104" i="3"/>
  <c r="Y179" i="3"/>
  <c r="Y221" i="3"/>
  <c r="Y348" i="3"/>
  <c r="Y163" i="3"/>
  <c r="Y170" i="3"/>
  <c r="Y209" i="3"/>
  <c r="Y42" i="3"/>
  <c r="Y64" i="3"/>
  <c r="Y269" i="3"/>
  <c r="Y72" i="3"/>
  <c r="Y372" i="3"/>
  <c r="Y341" i="3"/>
  <c r="Y408" i="3"/>
  <c r="Y386" i="3"/>
  <c r="Y152" i="3"/>
  <c r="Y309" i="3"/>
  <c r="Y316" i="3"/>
  <c r="Y138" i="3"/>
  <c r="Y10" i="3"/>
  <c r="Y205" i="3"/>
  <c r="Y340" i="3"/>
  <c r="Y39" i="3"/>
  <c r="Y55" i="3"/>
  <c r="Y378" i="3"/>
  <c r="Y208" i="3"/>
  <c r="Y238" i="3"/>
  <c r="Y101" i="3"/>
  <c r="Y186" i="3"/>
  <c r="Y262" i="3"/>
  <c r="Y233" i="3"/>
  <c r="Y167" i="3"/>
  <c r="Y416" i="3"/>
  <c r="Y147" i="3"/>
  <c r="Y370" i="3"/>
  <c r="Y326" i="3"/>
  <c r="Y252" i="3"/>
  <c r="Y389" i="3"/>
  <c r="Y90" i="3"/>
  <c r="Y11" i="3"/>
  <c r="Y315" i="3"/>
  <c r="Y263" i="3"/>
  <c r="Y109" i="3"/>
  <c r="Y407" i="3"/>
  <c r="Y292" i="3"/>
  <c r="Y60" i="3"/>
  <c r="Y321" i="3"/>
  <c r="Y264" i="3"/>
  <c r="Y393" i="3"/>
  <c r="Y54" i="3"/>
  <c r="Y362" i="3"/>
  <c r="Y207" i="3"/>
  <c r="Y192" i="3"/>
  <c r="Y342" i="3"/>
  <c r="Y267" i="3"/>
  <c r="Y222" i="3"/>
  <c r="Y313" i="3"/>
  <c r="Y17" i="3"/>
  <c r="Y255" i="3"/>
  <c r="Y339" i="3"/>
  <c r="Y127" i="3"/>
  <c r="Y354" i="3"/>
  <c r="Y134" i="3"/>
  <c r="Y229" i="3"/>
  <c r="Y352" i="3"/>
  <c r="Y361" i="3"/>
  <c r="Y247" i="3"/>
  <c r="Y424" i="3"/>
  <c r="Y219" i="3"/>
  <c r="Y323" i="3"/>
  <c r="Y369" i="3"/>
  <c r="Y299" i="3"/>
  <c r="Y16" i="3"/>
  <c r="Y364" i="3"/>
  <c r="Y388" i="3"/>
  <c r="Y46" i="3"/>
  <c r="Y306" i="3"/>
  <c r="Y203" i="3"/>
  <c r="Y150" i="3"/>
  <c r="Y429" i="3"/>
  <c r="Y110" i="3"/>
  <c r="Y89" i="3"/>
  <c r="Y402" i="3"/>
  <c r="Y4" i="3"/>
  <c r="Y380" i="3"/>
  <c r="Y202" i="3"/>
  <c r="Y50" i="3"/>
  <c r="Y353" i="3"/>
  <c r="Y92" i="3"/>
  <c r="Y367" i="3"/>
  <c r="Y125" i="3"/>
  <c r="Y302" i="3"/>
  <c r="Y132" i="3"/>
  <c r="Y220" i="3"/>
  <c r="Y251" i="3"/>
  <c r="Y174" i="3"/>
  <c r="Y338" i="3"/>
  <c r="Y6" i="3"/>
  <c r="Y189" i="3"/>
  <c r="Y375" i="3"/>
  <c r="Y236" i="3"/>
  <c r="Y190" i="3"/>
  <c r="Y143" i="3"/>
  <c r="Y136" i="3"/>
  <c r="Y343" i="3"/>
  <c r="Y53" i="3"/>
  <c r="Y243" i="3"/>
  <c r="Y289" i="3"/>
  <c r="Y418" i="3"/>
  <c r="Y248" i="3"/>
  <c r="Y114" i="3"/>
  <c r="Y379" i="3"/>
  <c r="Y182" i="3"/>
  <c r="Y137" i="3"/>
  <c r="Y188" i="3"/>
  <c r="Y387" i="3"/>
  <c r="Y261" i="3"/>
  <c r="Y282" i="3"/>
  <c r="Y68" i="3"/>
  <c r="Y7" i="3"/>
  <c r="Y368" i="3"/>
  <c r="Y112" i="3"/>
  <c r="Y91" i="3"/>
  <c r="Y198" i="3"/>
  <c r="Y425" i="3"/>
  <c r="Y107" i="3"/>
  <c r="Y398" i="3"/>
  <c r="Y142" i="3"/>
  <c r="Y279" i="3"/>
  <c r="Y153" i="3"/>
  <c r="Y228" i="3"/>
  <c r="Y371" i="3"/>
  <c r="Y417" i="3"/>
  <c r="Y149" i="3"/>
  <c r="Y312" i="3"/>
  <c r="Y178" i="3"/>
  <c r="Y14" i="3"/>
  <c r="Y230" i="3"/>
  <c r="Y169" i="3"/>
  <c r="Y204" i="3"/>
  <c r="Y419" i="3"/>
  <c r="Y293" i="3"/>
  <c r="Y298" i="3"/>
  <c r="Y84" i="3"/>
  <c r="Y71" i="3"/>
  <c r="Y384" i="3"/>
  <c r="Y128" i="3"/>
  <c r="Y155" i="3"/>
  <c r="Y214" i="3"/>
  <c r="Y103" i="3"/>
  <c r="Y139" i="3"/>
  <c r="Y414" i="3"/>
  <c r="Y158" i="3"/>
  <c r="Y311" i="3"/>
  <c r="Y185" i="3"/>
  <c r="Y244" i="3"/>
  <c r="Y30" i="3"/>
  <c r="Y258" i="3"/>
  <c r="Y385" i="3"/>
  <c r="Y216" i="3"/>
  <c r="Y79" i="3"/>
  <c r="Y194" i="3"/>
  <c r="Y129" i="3"/>
  <c r="Y146" i="3"/>
  <c r="Y191" i="3"/>
  <c r="Y392" i="3"/>
  <c r="Y135" i="3"/>
  <c r="Y86" i="3"/>
  <c r="Y394" i="3"/>
  <c r="Y271" i="3"/>
  <c r="Y224" i="3"/>
  <c r="Y390" i="3"/>
  <c r="Y331" i="3"/>
  <c r="Y254" i="3"/>
  <c r="Y377" i="3"/>
  <c r="Y81" i="3"/>
  <c r="Y403" i="3"/>
  <c r="Y181" i="3"/>
  <c r="Y406" i="3"/>
  <c r="Y284" i="3"/>
  <c r="Y47" i="3"/>
  <c r="Y122" i="3"/>
  <c r="Y113" i="3"/>
  <c r="Y411" i="3"/>
  <c r="Y391" i="3"/>
  <c r="Y173" i="3"/>
  <c r="Y24" i="3"/>
  <c r="Y324" i="3"/>
  <c r="Y232" i="3"/>
  <c r="Y95" i="3"/>
  <c r="Y108" i="3"/>
  <c r="Y399" i="3"/>
  <c r="Y159" i="3"/>
  <c r="Y285" i="3"/>
  <c r="Y195" i="3"/>
  <c r="Y241" i="3"/>
  <c r="Y80" i="3"/>
  <c r="Y5" i="3"/>
  <c r="Y405" i="3"/>
  <c r="Y325" i="3"/>
  <c r="Y246" i="3"/>
  <c r="Y119" i="3"/>
  <c r="Y376" i="3"/>
  <c r="Y314" i="3"/>
  <c r="Y231" i="3"/>
  <c r="Y217" i="3"/>
  <c r="Y61" i="3"/>
  <c r="Y404" i="3"/>
  <c r="Y278" i="3"/>
  <c r="Y357" i="3"/>
  <c r="Y43" i="3"/>
  <c r="Y37" i="3"/>
  <c r="Y115" i="3"/>
  <c r="Y294" i="3"/>
  <c r="Y249" i="3"/>
  <c r="Y117" i="3"/>
  <c r="Y296" i="3"/>
  <c r="Y162" i="3"/>
  <c r="Y34" i="3"/>
  <c r="Y223" i="3"/>
  <c r="Y31" i="3"/>
  <c r="Y48" i="3"/>
  <c r="Y396" i="3"/>
  <c r="Y124" i="3"/>
  <c r="Y259" i="3"/>
  <c r="Y133" i="3"/>
  <c r="Y218" i="3"/>
  <c r="Y431" i="3"/>
  <c r="Y305" i="3"/>
  <c r="Y304" i="3"/>
  <c r="Y9" i="3"/>
  <c r="Y253" i="3"/>
  <c r="Y85" i="3"/>
  <c r="Y59" i="3"/>
  <c r="Y365" i="3"/>
  <c r="Y334" i="3"/>
  <c r="Y69" i="3"/>
  <c r="Y151" i="3"/>
  <c r="Y420" i="3"/>
  <c r="Y164" i="3"/>
  <c r="Y245" i="3"/>
  <c r="Y360" i="3"/>
  <c r="Y226" i="3"/>
  <c r="Y25" i="3"/>
  <c r="Y351" i="3"/>
  <c r="Y123" i="3"/>
  <c r="Y21" i="3"/>
  <c r="Y412" i="3"/>
  <c r="Y140" i="3"/>
  <c r="Y291" i="3"/>
  <c r="Y165" i="3"/>
  <c r="Y234" i="3"/>
  <c r="Y20" i="3"/>
  <c r="Y337" i="3"/>
  <c r="Y320" i="3"/>
  <c r="Y41" i="3"/>
  <c r="Y317" i="3"/>
  <c r="Y118" i="3"/>
  <c r="Y201" i="3"/>
  <c r="Y397" i="3"/>
  <c r="Y350" i="3"/>
  <c r="Y94" i="3"/>
  <c r="Y183" i="3"/>
  <c r="Y27" i="3"/>
  <c r="Y180" i="3"/>
  <c r="Y211" i="3"/>
  <c r="Y130" i="3"/>
  <c r="Y257" i="3"/>
  <c r="Y88" i="3"/>
  <c r="Y213" i="3"/>
  <c r="Y45" i="3"/>
  <c r="Y344" i="3"/>
  <c r="Y161" i="3"/>
  <c r="Y184" i="3"/>
  <c r="Y283" i="3"/>
  <c r="Y105" i="3"/>
  <c r="Y355" i="3"/>
  <c r="Y266" i="3"/>
  <c r="Y401" i="3"/>
  <c r="Y96" i="3"/>
  <c r="Y166" i="3"/>
  <c r="Y63" i="3"/>
  <c r="Y126" i="3"/>
  <c r="Y121" i="3"/>
  <c r="Y373" i="3"/>
  <c r="Y290" i="3"/>
  <c r="Y28" i="3"/>
  <c r="Y102" i="3"/>
  <c r="Y156" i="3"/>
  <c r="Y197" i="3"/>
  <c r="Y36" i="3"/>
  <c r="Y336" i="3"/>
  <c r="Y381" i="3"/>
  <c r="Y297" i="3"/>
  <c r="Y366" i="3"/>
  <c r="Y215" i="3"/>
  <c r="Y196" i="3"/>
  <c r="Y98" i="3"/>
  <c r="Y287" i="3"/>
  <c r="Y349" i="3"/>
  <c r="Y227" i="3"/>
  <c r="Y273" i="3"/>
  <c r="Y76" i="3"/>
  <c r="Y359" i="3"/>
  <c r="Y51" i="3"/>
  <c r="Y272" i="3"/>
  <c r="Y427" i="3"/>
  <c r="Y87" i="3"/>
  <c r="Y242" i="3"/>
  <c r="Y29" i="3"/>
  <c r="Y300" i="3"/>
  <c r="Y276" i="3"/>
  <c r="Y57" i="3"/>
  <c r="Y111" i="3"/>
  <c r="Y171" i="3"/>
  <c r="Y148" i="3"/>
  <c r="Y74" i="3"/>
  <c r="Y168" i="3"/>
  <c r="Y430" i="3"/>
  <c r="Y160" i="3"/>
  <c r="Y22" i="3"/>
  <c r="Y62" i="3"/>
  <c r="Y330" i="3"/>
  <c r="AO78" i="3" l="1"/>
  <c r="AO322" i="3"/>
  <c r="AO383" i="3"/>
  <c r="AO428" i="3"/>
  <c r="AO395" i="3"/>
  <c r="AO344" i="3"/>
  <c r="AO73" i="3"/>
  <c r="AO52" i="3"/>
  <c r="AO423" i="3"/>
  <c r="AO176" i="3"/>
  <c r="AO99" i="3"/>
  <c r="AO154" i="3"/>
  <c r="AO237" i="3"/>
  <c r="AO329" i="3"/>
  <c r="AO93" i="3"/>
  <c r="AO77" i="3"/>
  <c r="AO225" i="3"/>
  <c r="AO295" i="3"/>
  <c r="AO82" i="3"/>
  <c r="AO346" i="3"/>
  <c r="AO38" i="3"/>
  <c r="AO12" i="3"/>
  <c r="AO268" i="3"/>
  <c r="AO333" i="3"/>
  <c r="AO175" i="3"/>
  <c r="AO141" i="3"/>
  <c r="AO193" i="3"/>
  <c r="AO235" i="3"/>
  <c r="AO421" i="3"/>
  <c r="AO83" i="3"/>
  <c r="AO212" i="3"/>
  <c r="AO70" i="3"/>
  <c r="AO426" i="3"/>
  <c r="AO106" i="3"/>
  <c r="AO345" i="3"/>
  <c r="AO75" i="3"/>
  <c r="AO286" i="3"/>
  <c r="AO157" i="3"/>
  <c r="AO280" i="3"/>
  <c r="AO172" i="3"/>
  <c r="AO66" i="3"/>
  <c r="AO8" i="3"/>
  <c r="AO23" i="3"/>
  <c r="AO116" i="3"/>
  <c r="AO265" i="3"/>
  <c r="AO332" i="3"/>
  <c r="AO18" i="3"/>
  <c r="AO347" i="3"/>
  <c r="AO131" i="3"/>
  <c r="AO26" i="3"/>
  <c r="AO200" i="3"/>
  <c r="AO400" i="3"/>
  <c r="AO56" i="3"/>
  <c r="AO358" i="3"/>
  <c r="AO274" i="3"/>
  <c r="AO15" i="3"/>
  <c r="AO308" i="3"/>
  <c r="AO124" i="3"/>
  <c r="AO371" i="3"/>
  <c r="AO40" i="3"/>
  <c r="AO281" i="3"/>
  <c r="AO32" i="3"/>
  <c r="AO413" i="3"/>
  <c r="AO328" i="3"/>
  <c r="AO327" i="3"/>
  <c r="AO356" i="3"/>
  <c r="AO275" i="3"/>
  <c r="AO44" i="3"/>
  <c r="AO374" i="3"/>
  <c r="AO310" i="3"/>
  <c r="AO221" i="3"/>
  <c r="AO199" i="3"/>
  <c r="AO206" i="3"/>
  <c r="AO256" i="3"/>
  <c r="AO177" i="3"/>
  <c r="AO19" i="3"/>
  <c r="AO138" i="3"/>
  <c r="AO387" i="3"/>
  <c r="AO108" i="3"/>
  <c r="AO284" i="3"/>
  <c r="AO405" i="3"/>
  <c r="AO312" i="3"/>
  <c r="AO430" i="3"/>
  <c r="AO300" i="3"/>
  <c r="AO148" i="3"/>
  <c r="AO28" i="3"/>
  <c r="AO76" i="3"/>
  <c r="AO91" i="3"/>
  <c r="AO298" i="3"/>
  <c r="AO43" i="3"/>
  <c r="AO369" i="3"/>
  <c r="AO359" i="3"/>
  <c r="AO98" i="3"/>
  <c r="AO384" i="3"/>
  <c r="AO282" i="3"/>
  <c r="AO220" i="3"/>
  <c r="AO60" i="3"/>
  <c r="AO179" i="3"/>
  <c r="AO270" i="3"/>
  <c r="AO208" i="3"/>
  <c r="AO323" i="3"/>
  <c r="AO392" i="3"/>
  <c r="AO35" i="3"/>
  <c r="AO144" i="3"/>
  <c r="AO262" i="3"/>
  <c r="AO58" i="3"/>
  <c r="AO382" i="3"/>
  <c r="AO364" i="3"/>
  <c r="AO248" i="3"/>
  <c r="AO239" i="3"/>
  <c r="AO162" i="3"/>
  <c r="AO187" i="3"/>
  <c r="AO120" i="3"/>
  <c r="AO316" i="3"/>
  <c r="AO321" i="3"/>
  <c r="AO195" i="3"/>
  <c r="AO39" i="3"/>
  <c r="AO396" i="3"/>
  <c r="AO406" i="3"/>
  <c r="AO398" i="3"/>
  <c r="AO238" i="3"/>
  <c r="AO348" i="3"/>
  <c r="AO84" i="3"/>
  <c r="AO204" i="3"/>
  <c r="AO125" i="3"/>
  <c r="AO233" i="3"/>
  <c r="AO388" i="3"/>
  <c r="AO92" i="3"/>
  <c r="AO160" i="3"/>
  <c r="AO393" i="3"/>
  <c r="AO299" i="3"/>
  <c r="AO416" i="3"/>
  <c r="AO404" i="3"/>
  <c r="AO16" i="3"/>
  <c r="AO192" i="3"/>
  <c r="AO22" i="3"/>
  <c r="AO87" i="3"/>
  <c r="AO25" i="3"/>
  <c r="AO155" i="3"/>
  <c r="AO69" i="3"/>
  <c r="AO13" i="3"/>
  <c r="AO184" i="3"/>
  <c r="AO313" i="3"/>
  <c r="AO181" i="3"/>
  <c r="AO222" i="3"/>
  <c r="AO351" i="3"/>
  <c r="AO63" i="3"/>
  <c r="AO357" i="3"/>
  <c r="AO183" i="3"/>
  <c r="AO123" i="3"/>
  <c r="AO378" i="3"/>
  <c r="AO217" i="3"/>
  <c r="AO367" i="3"/>
  <c r="AO297" i="3"/>
  <c r="AO121" i="3"/>
  <c r="AO335" i="3"/>
  <c r="AO254" i="3"/>
  <c r="AO350" i="3"/>
  <c r="AO289" i="3"/>
  <c r="AO224" i="3"/>
  <c r="AO129" i="3"/>
  <c r="AO331" i="3"/>
  <c r="AO343" i="3"/>
  <c r="AO250" i="3"/>
  <c r="AO11" i="3"/>
  <c r="AO136" i="3"/>
  <c r="AO251" i="3"/>
  <c r="AO145" i="3"/>
  <c r="AO257" i="3"/>
  <c r="AO42" i="3"/>
  <c r="AO103" i="3"/>
  <c r="AO211" i="3"/>
  <c r="AO253" i="3"/>
  <c r="AO278" i="3"/>
  <c r="AO291" i="3"/>
  <c r="AO412" i="3"/>
  <c r="AO14" i="3"/>
  <c r="AO381" i="3"/>
  <c r="AO101" i="3"/>
  <c r="AO29" i="3"/>
  <c r="AO159" i="3"/>
  <c r="AO24" i="3"/>
  <c r="AO89" i="3"/>
  <c r="AO197" i="3"/>
  <c r="AO411" i="3"/>
  <c r="AO95" i="3"/>
  <c r="AO244" i="3"/>
  <c r="AO170" i="3"/>
  <c r="AO139" i="3"/>
  <c r="AO330" i="3"/>
  <c r="AO394" i="3"/>
  <c r="AO74" i="3"/>
  <c r="AO6" i="3"/>
  <c r="AO285" i="3"/>
  <c r="AO109" i="3"/>
  <c r="AO227" i="3"/>
  <c r="AO240" i="3"/>
  <c r="AO276" i="3"/>
  <c r="AO173" i="3"/>
  <c r="AO230" i="3"/>
  <c r="AO377" i="3"/>
  <c r="AO167" i="3"/>
  <c r="AO391" i="3"/>
  <c r="AO334" i="3"/>
  <c r="AO81" i="3"/>
  <c r="AO33" i="3"/>
  <c r="AO49" i="3"/>
  <c r="AO163" i="3"/>
  <c r="AO320" i="3"/>
  <c r="AO373" i="3"/>
  <c r="AO201" i="3"/>
  <c r="AO242" i="3"/>
  <c r="AO243" i="3"/>
  <c r="AO415" i="3"/>
  <c r="AO111" i="3"/>
  <c r="AO366" i="3"/>
  <c r="AO62" i="3"/>
  <c r="AO59" i="3"/>
  <c r="AO152" i="3"/>
  <c r="AO402" i="3"/>
  <c r="AO150" i="3"/>
  <c r="AO190" i="3"/>
  <c r="AO306" i="3"/>
  <c r="AO319" i="3"/>
  <c r="AO363" i="3"/>
  <c r="AO51" i="3"/>
  <c r="AO293" i="3"/>
  <c r="AO31" i="3"/>
  <c r="AO161" i="3"/>
  <c r="AO55" i="3"/>
  <c r="AO198" i="3"/>
  <c r="AO65" i="3"/>
  <c r="AO314" i="3"/>
  <c r="AO260" i="3"/>
  <c r="AO166" i="3"/>
  <c r="AO64" i="3"/>
  <c r="AO349" i="3"/>
  <c r="AO102" i="3"/>
  <c r="AO246" i="3"/>
  <c r="AO143" i="3"/>
  <c r="AO361" i="3"/>
  <c r="AO53" i="3"/>
  <c r="AO258" i="3"/>
  <c r="AO130" i="3"/>
  <c r="AO85" i="3"/>
  <c r="AO352" i="3"/>
  <c r="AO140" i="3"/>
  <c r="AO380" i="3"/>
  <c r="AO232" i="3"/>
  <c r="AO68" i="3"/>
  <c r="AO100" i="3"/>
  <c r="AO114" i="3"/>
  <c r="AO210" i="3"/>
  <c r="AO196" i="3"/>
  <c r="AO34" i="3"/>
  <c r="AO397" i="3"/>
  <c r="AO360" i="3"/>
  <c r="AO302" i="3"/>
  <c r="AO259" i="3"/>
  <c r="AO164" i="3"/>
  <c r="AO401" i="3"/>
  <c r="AO20" i="3"/>
  <c r="AO372" i="3"/>
  <c r="AO146" i="3"/>
  <c r="AO188" i="3"/>
  <c r="AO355" i="3"/>
  <c r="AO36" i="3"/>
  <c r="AO252" i="3"/>
  <c r="AO424" i="3"/>
  <c r="AO429" i="3"/>
  <c r="AO156" i="3"/>
  <c r="AO132" i="3"/>
  <c r="AO403" i="3"/>
  <c r="AO216" i="3"/>
  <c r="AO376" i="3"/>
  <c r="AO264" i="3"/>
  <c r="AO236" i="3"/>
  <c r="AO231" i="3"/>
  <c r="AO338" i="3"/>
  <c r="AO296" i="3"/>
  <c r="AO180" i="3"/>
  <c r="AO368" i="3"/>
  <c r="AO340" i="3"/>
  <c r="AO311" i="3"/>
  <c r="AO21" i="3"/>
  <c r="AO353" i="3"/>
  <c r="AO375" i="3"/>
  <c r="AO266" i="3"/>
  <c r="AO205" i="3"/>
  <c r="AO337" i="3"/>
  <c r="AO57" i="3"/>
  <c r="AO283" i="3"/>
  <c r="AO189" i="3"/>
  <c r="AO80" i="3"/>
  <c r="AO288" i="3"/>
  <c r="AO301" i="3"/>
  <c r="AO422" i="3"/>
  <c r="AO61" i="3"/>
  <c r="AO169" i="3"/>
  <c r="AO326" i="3"/>
  <c r="AO339" i="3"/>
  <c r="AO104" i="3"/>
  <c r="AO309" i="3"/>
  <c r="AO47" i="3"/>
  <c r="AO207" i="3"/>
  <c r="AO249" i="3"/>
  <c r="AO370" i="3"/>
  <c r="AO417" i="3"/>
  <c r="AO137" i="3"/>
  <c r="AO158" i="3"/>
  <c r="AO287" i="3"/>
  <c r="AO408" i="3"/>
  <c r="AO41" i="3"/>
  <c r="AO171" i="3"/>
  <c r="AO117" i="3"/>
  <c r="AO48" i="3"/>
  <c r="AO292" i="3"/>
  <c r="AO90" i="3"/>
  <c r="AO71" i="3"/>
  <c r="AO272" i="3"/>
  <c r="AO186" i="3"/>
  <c r="AO168" i="3"/>
  <c r="AO9" i="3"/>
  <c r="AO27" i="3"/>
  <c r="AO10" i="3"/>
  <c r="AO234" i="3"/>
  <c r="AO410" i="3"/>
  <c r="AO419" i="3"/>
  <c r="AO214" i="3"/>
  <c r="AO122" i="3"/>
  <c r="AO263" i="3"/>
  <c r="AO134" i="3"/>
  <c r="AO273" i="3"/>
  <c r="AO229" i="3"/>
  <c r="AO425" i="3"/>
  <c r="AO215" i="3"/>
  <c r="AO17" i="3"/>
  <c r="AO96" i="3"/>
  <c r="AO304" i="3"/>
  <c r="AO317" i="3"/>
  <c r="AO354" i="3"/>
  <c r="AO185" i="3"/>
  <c r="AO226" i="3"/>
  <c r="AO342" i="3"/>
  <c r="AO399" i="3"/>
  <c r="AO79" i="3"/>
  <c r="AO228" i="3"/>
  <c r="AO341" i="3"/>
  <c r="AO209" i="3"/>
  <c r="AO50" i="3"/>
  <c r="AO115" i="3"/>
  <c r="AO386" i="3"/>
  <c r="AO4" i="3"/>
  <c r="AO118" i="3"/>
  <c r="AO174" i="3"/>
  <c r="AO290" i="3"/>
  <c r="AO303" i="3"/>
  <c r="AO30" i="3"/>
  <c r="AO203" i="3"/>
  <c r="AO261" i="3"/>
  <c r="AO149" i="3"/>
  <c r="AO407" i="3"/>
  <c r="AO247" i="3"/>
  <c r="AO315" i="3"/>
  <c r="AO107" i="3"/>
  <c r="AO389" i="3"/>
  <c r="AO194" i="3"/>
  <c r="AO431" i="3"/>
  <c r="AO94" i="3"/>
  <c r="AO191" i="3"/>
  <c r="AO418" i="3"/>
  <c r="AO379" i="3"/>
  <c r="AO365" i="3"/>
  <c r="AO113" i="3"/>
  <c r="AO409" i="3"/>
  <c r="AO318" i="3"/>
  <c r="AO279" i="3"/>
  <c r="AO305" i="3"/>
  <c r="AO219" i="3"/>
  <c r="AO97" i="3"/>
  <c r="AO324" i="3"/>
  <c r="AO37" i="3"/>
  <c r="AO218" i="3"/>
  <c r="AO362" i="3"/>
  <c r="AO151" i="3"/>
  <c r="AO54" i="3"/>
  <c r="AO119" i="3"/>
  <c r="AO128" i="3"/>
  <c r="AO269" i="3"/>
  <c r="AO390" i="3"/>
  <c r="AO7" i="3"/>
  <c r="AO86" i="3"/>
  <c r="AO126" i="3"/>
  <c r="AO178" i="3"/>
  <c r="AO294" i="3"/>
  <c r="AO307" i="3"/>
  <c r="AO46" i="3"/>
  <c r="AO112" i="3"/>
  <c r="AO245" i="3"/>
  <c r="AO133" i="3"/>
  <c r="AO45" i="3"/>
  <c r="AO67" i="3"/>
  <c r="AO385" i="3"/>
  <c r="AO105" i="3"/>
  <c r="AO213" i="3"/>
  <c r="AO255" i="3"/>
  <c r="AO427" i="3"/>
  <c r="AO127" i="3"/>
  <c r="AO414" i="3"/>
  <c r="AO110" i="3"/>
  <c r="AO202" i="3"/>
  <c r="AO267" i="3"/>
  <c r="AO420" i="3"/>
  <c r="AO5" i="3"/>
  <c r="AO182" i="3"/>
  <c r="AO241" i="3"/>
  <c r="AO135" i="3"/>
  <c r="AO336" i="3"/>
  <c r="AO153" i="3"/>
  <c r="AO72" i="3"/>
  <c r="AO277" i="3"/>
  <c r="AO142" i="3"/>
  <c r="AO147" i="3"/>
  <c r="AO223" i="3"/>
  <c r="AO165" i="3"/>
  <c r="AO271" i="3"/>
  <c r="AO88" i="3"/>
  <c r="AO325" i="3"/>
</calcChain>
</file>

<file path=xl/sharedStrings.xml><?xml version="1.0" encoding="utf-8"?>
<sst xmlns="http://schemas.openxmlformats.org/spreadsheetml/2006/main" count="970" uniqueCount="515">
  <si>
    <t>Kommunenavn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</si>
  <si>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</si>
  <si>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</si>
  <si>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</si>
  <si>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</si>
  <si>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</si>
  <si>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</si>
  <si>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</si>
  <si>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</si>
  <si>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</si>
  <si>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</si>
  <si>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</si>
  <si>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</si>
  <si>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</si>
  <si>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</si>
  <si>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</si>
  <si>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</si>
  <si>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</si>
  <si>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</si>
  <si>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</si>
  <si>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</si>
  <si>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</si>
  <si>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</si>
  <si>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</si>
  <si>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</si>
  <si>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</si>
  <si>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</si>
  <si>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</si>
  <si>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</si>
  <si>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</si>
  <si>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</si>
  <si>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</si>
  <si>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</si>
  <si>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</si>
  <si>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</si>
  <si>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</si>
  <si>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</si>
  <si>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</si>
  <si>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</si>
  <si>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</si>
  <si>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</si>
  <si>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</si>
  <si>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</si>
  <si>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</si>
  <si>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</si>
  <si>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</si>
  <si>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</si>
  <si>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</si>
  <si>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</si>
  <si>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</si>
  <si>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</si>
  <si>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</si>
  <si>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</si>
  <si>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</si>
  <si>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</si>
  <si>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</si>
  <si>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</si>
  <si>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</si>
  <si>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</si>
  <si>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</si>
  <si>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</si>
  <si>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</si>
  <si>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</si>
  <si>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</si>
  <si>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</si>
  <si>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</si>
  <si>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</si>
  <si>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</si>
  <si>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</si>
  <si>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</si>
  <si>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</si>
  <si>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</si>
  <si>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</si>
  <si>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</si>
  <si>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</si>
  <si>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</si>
  <si>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</si>
  <si>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</si>
  <si>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</si>
  <si>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</si>
  <si>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</si>
  <si>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</si>
  <si>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</si>
  <si>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</si>
  <si>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</si>
  <si>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</si>
  <si>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</si>
  <si>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</si>
  <si>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</si>
  <si>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</si>
  <si>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</si>
  <si>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</si>
  <si>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</si>
  <si>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</si>
  <si>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</si>
  <si>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</si>
  <si>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</si>
  <si>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</si>
  <si>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</si>
  <si>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</si>
  <si>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</si>
  <si>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</si>
  <si>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</si>
  <si>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</si>
  <si>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</si>
  <si>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</si>
  <si>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</si>
  <si>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</si>
  <si>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</si>
  <si>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</si>
  <si>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</si>
  <si>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</si>
  <si>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0702 Holmestrand</t>
  </si>
  <si>
    <t>0704 Tønsberg</t>
  </si>
  <si>
    <t>0706 Sandefjord</t>
  </si>
  <si>
    <t>0709 Larvik</t>
  </si>
  <si>
    <t>0711 Svelvik</t>
  </si>
  <si>
    <t>0713 Sande</t>
  </si>
  <si>
    <t>0714 Hof</t>
  </si>
  <si>
    <t>0716 Re</t>
  </si>
  <si>
    <t>0719 Andebu</t>
  </si>
  <si>
    <t>0720 Stokke</t>
  </si>
  <si>
    <t>0722 Nøtterøy</t>
  </si>
  <si>
    <t>0723 Tjøme</t>
  </si>
  <si>
    <t>0728 Lardal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</si>
  <si>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</si>
  <si>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</si>
  <si>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</si>
  <si>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</si>
  <si>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</si>
  <si>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</si>
  <si>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</si>
  <si>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</si>
  <si>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</si>
  <si>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</si>
  <si>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</si>
  <si>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</si>
  <si>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</si>
  <si>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</si>
  <si>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</si>
  <si>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</si>
  <si>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</si>
  <si>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</si>
  <si>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</si>
  <si>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</si>
  <si>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</si>
  <si>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</si>
  <si>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</si>
  <si>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</si>
  <si>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</si>
  <si>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</si>
  <si>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</si>
  <si>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</si>
  <si>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</si>
  <si>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</si>
  <si>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</si>
  <si>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</si>
  <si>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</si>
  <si>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</si>
  <si>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</si>
  <si>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</si>
  <si>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</si>
  <si>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</si>
  <si>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</si>
  <si>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</si>
  <si>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</si>
  <si>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</si>
  <si>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</si>
  <si>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</si>
  <si>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</si>
  <si>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</si>
  <si>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</si>
  <si>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</si>
  <si>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</si>
  <si>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</si>
  <si>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</si>
  <si>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</si>
  <si>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</si>
  <si>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</si>
  <si>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</si>
  <si>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</si>
  <si>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</si>
  <si>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</si>
  <si>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</si>
  <si>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</si>
  <si>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</si>
  <si>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</si>
  <si>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</si>
  <si>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</si>
  <si>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</si>
  <si>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</si>
  <si>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</si>
  <si>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</si>
  <si>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</si>
  <si>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</si>
  <si>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</si>
  <si>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</si>
  <si>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</si>
  <si>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</si>
  <si>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</si>
  <si>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</si>
  <si>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</si>
  <si>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</si>
  <si>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</si>
  <si>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</si>
  <si>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</si>
  <si>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</si>
  <si>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</si>
  <si>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</si>
  <si>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</si>
  <si>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</si>
  <si>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</si>
  <si>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</si>
  <si>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</si>
  <si>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</si>
  <si>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</si>
  <si>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</si>
  <si>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</si>
  <si>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</si>
  <si>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</si>
  <si>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</si>
  <si>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</si>
  <si>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</si>
  <si>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</si>
  <si>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</si>
  <si>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</si>
  <si>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</si>
  <si>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</si>
  <si>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</si>
  <si>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</si>
  <si>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</si>
  <si>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</si>
  <si>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</si>
  <si>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</si>
  <si>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</si>
  <si>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</si>
  <si>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</si>
  <si>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</si>
  <si>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</si>
  <si>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</si>
  <si>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</si>
  <si>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</si>
  <si>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</si>
  <si>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</si>
  <si>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</si>
  <si>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</si>
  <si>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</si>
  <si>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</si>
  <si>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</si>
  <si>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</si>
  <si>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</si>
  <si>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</si>
  <si>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</si>
  <si>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</si>
  <si>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</si>
  <si>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</si>
  <si>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</si>
  <si>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</si>
  <si>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</si>
  <si>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</si>
  <si>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</si>
  <si>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</si>
  <si>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</si>
  <si>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</si>
  <si>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</si>
  <si>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</si>
  <si>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</si>
  <si>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</si>
  <si>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</si>
  <si>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</si>
  <si>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</si>
  <si>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</si>
  <si>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</si>
  <si>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</si>
  <si>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</si>
  <si>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</si>
  <si>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</si>
  <si>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</si>
  <si>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</si>
  <si>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</si>
  <si>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</si>
  <si>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</si>
  <si>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</si>
  <si>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</si>
  <si>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</si>
  <si>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</si>
  <si>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</si>
  <si>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</si>
  <si>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</si>
  <si>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</si>
  <si>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</si>
  <si>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</si>
  <si>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</si>
  <si>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</si>
  <si>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1601 Trondheim</t>
  </si>
  <si>
    <t>1612 Hemne</t>
  </si>
  <si>
    <t>1613 Snillfjord</t>
  </si>
  <si>
    <t>1617 Hitra</t>
  </si>
  <si>
    <t>1620 Frøya</t>
  </si>
  <si>
    <t>1621 Ørland</t>
  </si>
  <si>
    <t>1622 Agdenes</t>
  </si>
  <si>
    <t>1624 Rissa</t>
  </si>
  <si>
    <t>1627 Bjugn</t>
  </si>
  <si>
    <t>1630 Åfjord</t>
  </si>
  <si>
    <t>1632 Roan</t>
  </si>
  <si>
    <t>1633 Osen</t>
  </si>
  <si>
    <t>1634 Oppdal</t>
  </si>
  <si>
    <t>1635 Rennebu</t>
  </si>
  <si>
    <t>1636 Meldal</t>
  </si>
  <si>
    <t>1638 Orkdal</t>
  </si>
  <si>
    <t>1640 Røros</t>
  </si>
  <si>
    <t>1644 Holtålen</t>
  </si>
  <si>
    <t>1648 Midtre Gauldal</t>
  </si>
  <si>
    <t>1653 Melhus</t>
  </si>
  <si>
    <t>1657 Skaun</t>
  </si>
  <si>
    <t>1662 Klæbu</t>
  </si>
  <si>
    <t>1663 Malvik</t>
  </si>
  <si>
    <t>1664 Selbu</t>
  </si>
  <si>
    <t>1665 Tydal</t>
  </si>
  <si>
    <t>1702 Steinkjer</t>
  </si>
  <si>
    <t>1703 Namsos</t>
  </si>
  <si>
    <t>1711 Meråker</t>
  </si>
  <si>
    <t>1714 Stjørdal</t>
  </si>
  <si>
    <t>1717 Frosta</t>
  </si>
  <si>
    <t>1718 Leksvik</t>
  </si>
  <si>
    <t>1719 Levanger</t>
  </si>
  <si>
    <t>1721 Verdal</t>
  </si>
  <si>
    <t>1724 Verran</t>
  </si>
  <si>
    <t>1725 Namdalseid</t>
  </si>
  <si>
    <t>1736 Snåsa</t>
  </si>
  <si>
    <t>1738 Lierne</t>
  </si>
  <si>
    <t>1739 Røyrvik</t>
  </si>
  <si>
    <t>1740 Namsskogan</t>
  </si>
  <si>
    <t>1742 Grong</t>
  </si>
  <si>
    <t>1743 Høylandet</t>
  </si>
  <si>
    <t>1744 Overhalla</t>
  </si>
  <si>
    <t>1748 Fosnes</t>
  </si>
  <si>
    <t>1749 Flatanger</t>
  </si>
  <si>
    <t>1750 Vikna</t>
  </si>
  <si>
    <t>1751 Nærøy</t>
  </si>
  <si>
    <t>1755 Leka</t>
  </si>
  <si>
    <t>1756 Inderøy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</si>
  <si>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</si>
  <si>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</si>
  <si>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</si>
  <si>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</si>
  <si>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</si>
  <si>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</si>
  <si>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</si>
  <si>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</si>
  <si>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</si>
  <si>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</si>
  <si>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</si>
  <si>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</si>
  <si>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</si>
  <si>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</si>
  <si>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</si>
  <si>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</si>
  <si>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</si>
  <si>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</si>
  <si>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</si>
  <si>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</si>
  <si>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</si>
  <si>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</si>
  <si>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</si>
  <si>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</si>
  <si>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</si>
  <si>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</si>
  <si>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</si>
  <si>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</si>
  <si>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</si>
  <si>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</si>
  <si>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</si>
  <si>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</si>
  <si>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</si>
  <si>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</si>
  <si>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</si>
  <si>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</si>
  <si>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</si>
  <si>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</si>
  <si>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</si>
  <si>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</si>
  <si>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</si>
  <si>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</si>
  <si>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</si>
  <si>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</si>
  <si>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</si>
  <si>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1903 Harstad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</si>
  <si>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</si>
  <si>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</si>
  <si>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</si>
  <si>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</si>
  <si>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</si>
  <si>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</si>
  <si>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</si>
  <si>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</si>
  <si>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</si>
  <si>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</si>
  <si>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</si>
  <si>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</si>
  <si>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</si>
  <si>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</si>
  <si>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</si>
  <si>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</si>
  <si>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</si>
  <si>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</si>
  <si>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Gaivuotna -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</si>
  <si>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</si>
  <si>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</si>
  <si>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</si>
  <si>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</si>
  <si>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</si>
  <si>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</si>
  <si>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Guovdageaidnu -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</si>
  <si>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</si>
  <si>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</si>
  <si>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</si>
  <si>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</si>
  <si>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</si>
  <si>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</si>
  <si>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</si>
  <si>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Karasjohka - Karasjok</t>
  </si>
  <si>
    <t>2022 Lebesby</t>
  </si>
  <si>
    <t>2023 Gamvik</t>
  </si>
  <si>
    <t>2024 Berlevåg</t>
  </si>
  <si>
    <t>2025 Deatnu - Tana</t>
  </si>
  <si>
    <t>2027 Unjarga - Nesseby</t>
  </si>
  <si>
    <t>2028 Båtsfjord</t>
  </si>
  <si>
    <t>2030 Sør-Varanger</t>
  </si>
  <si>
    <t>ReisetidOslo</t>
  </si>
  <si>
    <t>NIBR 11</t>
  </si>
  <si>
    <t>Vektingssett</t>
  </si>
  <si>
    <t>Reisetid</t>
  </si>
  <si>
    <t>Inntekt</t>
  </si>
  <si>
    <t>Sum vekt</t>
  </si>
  <si>
    <t>Geografi</t>
  </si>
  <si>
    <t>Beftettland</t>
  </si>
  <si>
    <t>beftettotal</t>
  </si>
  <si>
    <t>Beftetthettotal</t>
  </si>
  <si>
    <t>Befvekst10</t>
  </si>
  <si>
    <t>Kvinneandel</t>
  </si>
  <si>
    <t>Eldreandel</t>
  </si>
  <si>
    <t>Sysselsettingsvekst10</t>
  </si>
  <si>
    <t>Yrkesaktivandel</t>
  </si>
  <si>
    <t>Syssvekst5</t>
  </si>
  <si>
    <t>Syssandel</t>
  </si>
  <si>
    <t>Demografi</t>
  </si>
  <si>
    <t>Arbeidsmarked</t>
  </si>
  <si>
    <t>Levekår</t>
  </si>
  <si>
    <t>Emneområde</t>
  </si>
  <si>
    <t>Trunkerte verdier</t>
  </si>
  <si>
    <t>befvekst10</t>
  </si>
  <si>
    <t>Syssvekst10</t>
  </si>
  <si>
    <t>Yrkesaktiveandel</t>
  </si>
  <si>
    <t>Persentil 0,1</t>
  </si>
  <si>
    <t>Persentil 0,9</t>
  </si>
  <si>
    <t>Maks</t>
  </si>
  <si>
    <t>Min</t>
  </si>
  <si>
    <t>Snitt</t>
  </si>
  <si>
    <t>Indekserte (og trunkerte) verdier</t>
  </si>
  <si>
    <t>ReisetidOslo-T</t>
  </si>
  <si>
    <t>Beftettland-T</t>
  </si>
  <si>
    <t>Befvekst10-T</t>
  </si>
  <si>
    <t>Kvinneandel-T</t>
  </si>
  <si>
    <t>Eldreandel-T</t>
  </si>
  <si>
    <t>Sysselsettingsvekst10-T</t>
  </si>
  <si>
    <t>Yrkesaktivandel-T</t>
  </si>
  <si>
    <t>Inntekt-T</t>
  </si>
  <si>
    <t>ReisetidOslo-I</t>
  </si>
  <si>
    <t>Beftettland-I</t>
  </si>
  <si>
    <t>Befvekst10-I</t>
  </si>
  <si>
    <t>Kvinneandel-I</t>
  </si>
  <si>
    <t>Eldreandel-I</t>
  </si>
  <si>
    <t>Sysselsettingsvekst10-I</t>
  </si>
  <si>
    <t>Yrkesaktivandel-I</t>
  </si>
  <si>
    <t>Inntekt-I</t>
  </si>
  <si>
    <t>Bredde</t>
  </si>
  <si>
    <t>Merknader</t>
  </si>
  <si>
    <t>Beftettotal-I</t>
  </si>
  <si>
    <t>Beftettotal</t>
  </si>
  <si>
    <t>Beftettotal-T</t>
  </si>
  <si>
    <t>Gjeldende vekter - totalareal</t>
  </si>
  <si>
    <t>NIBR11</t>
  </si>
  <si>
    <t>NIBR11-T</t>
  </si>
  <si>
    <t>NIBR11-I</t>
  </si>
  <si>
    <t>ReisetidOslo-O</t>
  </si>
  <si>
    <t>DI2015 - Totalareal</t>
  </si>
  <si>
    <t>Y15-O</t>
  </si>
  <si>
    <t>B06-O</t>
  </si>
  <si>
    <t>B16-O</t>
  </si>
  <si>
    <t>Bruttoinntekt2014-O</t>
  </si>
  <si>
    <t>S05-O</t>
  </si>
  <si>
    <t>S15-O</t>
  </si>
  <si>
    <t>Landareal2016-O</t>
  </si>
  <si>
    <t>Totalareal2016-O</t>
  </si>
  <si>
    <t>Eldre67+-O</t>
  </si>
  <si>
    <t>Kvinner20-39-O</t>
  </si>
  <si>
    <t>Folk20-64-O</t>
  </si>
  <si>
    <t>Grunnlagsdata</t>
  </si>
  <si>
    <t>Data som brukes direkte</t>
  </si>
  <si>
    <t>Utregninger</t>
  </si>
  <si>
    <t>Faktiske verdier (hentet fra arket "Rådata-K")</t>
  </si>
  <si>
    <t>NIBR11-v</t>
  </si>
  <si>
    <t>ReisetidOslo-v</t>
  </si>
  <si>
    <t>Beftettotal-v</t>
  </si>
  <si>
    <t>Befvekst10-v</t>
  </si>
  <si>
    <t>Kvinneandel-v</t>
  </si>
  <si>
    <t>Eldreandel-v</t>
  </si>
  <si>
    <t>Sysselsettingsvekst10-v</t>
  </si>
  <si>
    <t>Yrkesaktivandel-v</t>
  </si>
  <si>
    <t>Inntekt-v</t>
  </si>
  <si>
    <t>Vektede verdier</t>
  </si>
  <si>
    <t>DI2016</t>
  </si>
  <si>
    <t>Distrikts-</t>
  </si>
  <si>
    <t>indeksen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</si>
</sst>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_ * #,##0.0_ ;_ * \-#,##0.0_ ;_ * &quot;-&quot;??_ ;_ @_ "/>
    <numFmt numFmtId="166" formatCode="_ * #,##0_ ;_ * \-#,##0_ ;_ * &quot;-&quot;??_ ;_ @_ "/>
    <numFmt numFmtId="167" formatCode="_ * #,##0.000000000_ ;_ * \-#,##0.000000000_ ;_ * &quot;-&quot;??_ ;_ @_ "/>
    <numFmt numFmtId="168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 applyNumberFormat="0" applyBorder="0" applyAlignment="0"/>
  </cellStyleXfs>
  <cellXfs count="77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/>
    <xf numFmtId="0" fontId="2" fillId="0" borderId="0" xfId="0" applyFont="1"/>
    <xf numFmtId="0" fontId="4" fillId="0" borderId="0" xfId="0" applyFont="1" applyFill="1" applyAlignment="1">
      <alignment wrapText="1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locked="0"/>
    </xf>
    <xf numFmtId="1" fontId="0" fillId="0" borderId="0" xfId="0" applyNumberFormat="1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0" fillId="4" borderId="0" xfId="0" applyFill="1"/>
    <xf numFmtId="0" fontId="2" fillId="4" borderId="0" xfId="0" applyFont="1" applyFill="1"/>
    <xf numFmtId="0" fontId="0" fillId="5" borderId="0" xfId="0" applyFill="1"/>
    <xf numFmtId="0" fontId="2" fillId="5" borderId="0" xfId="0" applyFont="1" applyFill="1"/>
    <xf numFmtId="0" fontId="0" fillId="6" borderId="0" xfId="0" applyFill="1"/>
    <xf numFmtId="0" fontId="2" fillId="6" borderId="0" xfId="0" applyFont="1" applyFill="1"/>
    <xf numFmtId="0" fontId="0" fillId="7" borderId="0" xfId="0" applyFill="1"/>
    <xf numFmtId="0" fontId="2" fillId="7" borderId="0" xfId="0" applyFont="1" applyFill="1"/>
    <xf numFmtId="0" fontId="2" fillId="7" borderId="0" xfId="0" applyFont="1" applyFill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Font="1" applyFill="1" applyBorder="1"/>
    <xf numFmtId="0" fontId="0" fillId="0" borderId="6" xfId="0" applyFont="1" applyFill="1" applyBorder="1"/>
    <xf numFmtId="0" fontId="0" fillId="0" borderId="0" xfId="0" applyNumberFormat="1"/>
    <xf numFmtId="165" fontId="0" fillId="2" borderId="0" xfId="1" applyNumberFormat="1" applyFont="1" applyFill="1"/>
    <xf numFmtId="2" fontId="0" fillId="2" borderId="0" xfId="0" applyNumberFormat="1" applyFill="1"/>
    <xf numFmtId="166" fontId="0" fillId="2" borderId="0" xfId="1" applyNumberFormat="1" applyFont="1" applyFill="1"/>
    <xf numFmtId="164" fontId="0" fillId="2" borderId="0" xfId="0" applyNumberFormat="1" applyFill="1"/>
    <xf numFmtId="0" fontId="0" fillId="0" borderId="5" xfId="0" applyFill="1" applyBorder="1"/>
    <xf numFmtId="167" fontId="0" fillId="2" borderId="0" xfId="1" applyNumberFormat="1" applyFont="1" applyFill="1"/>
    <xf numFmtId="0" fontId="0" fillId="0" borderId="6" xfId="0" applyFill="1" applyBorder="1"/>
    <xf numFmtId="166" fontId="0" fillId="0" borderId="0" xfId="1" applyNumberFormat="1" applyFont="1" applyFill="1"/>
    <xf numFmtId="0" fontId="7" fillId="0" borderId="0" xfId="0" applyFont="1" applyFill="1" applyAlignment="1">
      <alignment horizontal="left"/>
    </xf>
    <xf numFmtId="0" fontId="0" fillId="0" borderId="0" xfId="0" applyFont="1" applyFill="1"/>
    <xf numFmtId="0" fontId="2" fillId="0" borderId="5" xfId="0" applyFont="1" applyFill="1" applyBorder="1"/>
    <xf numFmtId="164" fontId="0" fillId="0" borderId="0" xfId="0" applyNumberFormat="1"/>
    <xf numFmtId="0" fontId="0" fillId="0" borderId="0" xfId="0" applyFill="1" applyProtection="1"/>
    <xf numFmtId="2" fontId="0" fillId="0" borderId="0" xfId="0" applyNumberFormat="1"/>
    <xf numFmtId="168" fontId="0" fillId="0" borderId="0" xfId="0" applyNumberFormat="1"/>
    <xf numFmtId="0" fontId="8" fillId="0" borderId="0" xfId="2"/>
    <xf numFmtId="0" fontId="8" fillId="0" borderId="0" xfId="2"/>
    <xf numFmtId="0" fontId="9" fillId="0" borderId="0" xfId="3" applyFill="1" applyProtection="1"/>
    <xf numFmtId="1" fontId="5" fillId="0" borderId="0" xfId="0" applyNumberFormat="1" applyFont="1" applyFill="1"/>
    <xf numFmtId="0" fontId="6" fillId="0" borderId="0" xfId="0" applyFont="1" applyFill="1" applyAlignment="1">
      <alignment wrapText="1"/>
    </xf>
    <xf numFmtId="0" fontId="2" fillId="0" borderId="0" xfId="0" applyFont="1" applyFill="1" applyAlignment="1" applyProtection="1">
      <alignment horizontal="left"/>
      <protection locked="0"/>
    </xf>
    <xf numFmtId="0" fontId="5" fillId="0" borderId="0" xfId="0" applyFont="1" applyAlignment="1">
      <alignment wrapText="1"/>
    </xf>
    <xf numFmtId="0" fontId="0" fillId="11" borderId="8" xfId="0" applyFont="1" applyFill="1" applyBorder="1" applyAlignment="1">
      <alignment horizontal="center"/>
    </xf>
    <xf numFmtId="0" fontId="0" fillId="12" borderId="8" xfId="0" applyFont="1" applyFill="1" applyBorder="1" applyAlignment="1">
      <alignment horizontal="center"/>
    </xf>
    <xf numFmtId="0" fontId="0" fillId="13" borderId="8" xfId="0" applyFont="1" applyFill="1" applyBorder="1" applyAlignment="1">
      <alignment horizontal="center"/>
    </xf>
    <xf numFmtId="0" fontId="0" fillId="0" borderId="0" xfId="0" applyFill="1" applyBorder="1"/>
    <xf numFmtId="0" fontId="2" fillId="3" borderId="0" xfId="0" applyFont="1" applyFill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0" fillId="9" borderId="7" xfId="0" applyFont="1" applyFill="1" applyBorder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0" fillId="11" borderId="7" xfId="0" applyFont="1" applyFill="1" applyBorder="1" applyAlignment="1">
      <alignment horizontal="center"/>
    </xf>
    <xf numFmtId="0" fontId="0" fillId="12" borderId="7" xfId="0" applyFont="1" applyFill="1" applyBorder="1" applyAlignment="1">
      <alignment horizontal="center"/>
    </xf>
    <xf numFmtId="0" fontId="0" fillId="12" borderId="0" xfId="0" applyFont="1" applyFill="1" applyBorder="1" applyAlignment="1">
      <alignment horizontal="center"/>
    </xf>
    <xf numFmtId="0" fontId="0" fillId="13" borderId="7" xfId="0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</cellXfs>
  <cellStyles count="4">
    <cellStyle name="Komma" xfId="1" builtinId="3"/>
    <cellStyle name="Normal" xfId="0" builtinId="0"/>
    <cellStyle name="Normal 2" xfId="2"/>
    <cellStyle name="Normal 3" xfId="3"/>
  </cellStyles>
  <dxfs count="58">
    <dxf>
      <numFmt numFmtId="164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" formatCode="0.00"/>
    </dxf>
    <dxf>
      <numFmt numFmtId="164" formatCode="0.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z val="10"/>
      </font>
      <numFmt numFmtId="1" formatCode="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alignment horizontal="right" vertical="bottom" textRotation="0" wrapText="0" relativeIndent="0" justifyLastLine="0" shrinkToFit="0" readingOrder="0"/>
      <protection locked="0" hidden="0"/>
    </dxf>
    <dxf>
      <alignment horizontal="righ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relativeIndent="0" justifyLastLine="0" shrinkToFit="0" readingOrder="0"/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Rådatakommune" displayName="Rådatakommune" ref="A2:U430" totalsRowShown="0" headerRowDxfId="57">
  <autoFilter ref="A2:U430"/>
  <sortState ref="A2:U429">
    <sortCondition ref="A1:A429"/>
  </sortState>
  <tableColumns count="21">
    <tableColumn id="1" name="Kommunenavn" dataDxfId="56"/>
    <tableColumn id="6" name="B06-O" dataDxfId="55"/>
    <tableColumn id="7" name="B16-O" dataDxfId="54"/>
    <tableColumn id="11" name="Y15-O" dataDxfId="53"/>
    <tableColumn id="12" name="Eldre67+-O" dataDxfId="52"/>
    <tableColumn id="13" name="Kvinner20-39-O" dataDxfId="51"/>
    <tableColumn id="15" name="Folk20-64-O" dataDxfId="50"/>
    <tableColumn id="16" name="S05-O" dataDxfId="49"/>
    <tableColumn id="17" name="S15-O" dataDxfId="48"/>
    <tableColumn id="18" name="Landareal2016-O" dataDxfId="47"/>
    <tableColumn id="19" name="Totalareal2016-O" dataDxfId="46"/>
    <tableColumn id="20" name="Bruttoinntekt2014-O" dataDxfId="45"/>
    <tableColumn id="21" name="ReisetidOslo-O" dataDxfId="44"/>
    <tableColumn id="22" name="NIBR11" dataDxfId="43"/>
    <tableColumn id="23" name="Beftettland" dataDxfId="42">
      <calculatedColumnFormula>Rådatakommune[[#This Row],[B16-O]]/Rådatakommune[[#This Row],[Landareal2016-O]]</calculatedColumnFormula>
    </tableColumn>
    <tableColumn id="24" name="beftettotal" dataDxfId="41">
      <calculatedColumnFormula>Rådatakommune[[#This Row],[B16-O]]/Rådatakommune[[#This Row],[Totalareal2016-O]]</calculatedColumnFormula>
    </tableColumn>
    <tableColumn id="25" name="befvekst10" dataDxfId="40">
      <calculatedColumnFormula>Rådatakommune[[#This Row],[B16-O]]/Rådatakommune[[#This Row],[B06-O]]-1</calculatedColumnFormula>
    </tableColumn>
    <tableColumn id="26" name="Kvinneandel" dataDxfId="39">
      <calculatedColumnFormula>Rådatakommune[[#This Row],[Kvinner20-39-O]]/Rådatakommune[[#This Row],[B16-O]]</calculatedColumnFormula>
    </tableColumn>
    <tableColumn id="27" name="Eldreandel" dataDxfId="38">
      <calculatedColumnFormula>Rådatakommune[[#This Row],[Eldre67+-O]]/Rådatakommune[[#This Row],[B16-O]]</calculatedColumnFormula>
    </tableColumn>
    <tableColumn id="28" name="Syssvekst10" dataDxfId="37">
      <calculatedColumnFormula>Rådatakommune[[#This Row],[S15-O]]/Rådatakommune[[#This Row],[S05-O]]-1</calculatedColumnFormula>
    </tableColumn>
    <tableColumn id="29" name="Yrkesaktiveandel" dataDxfId="36">
      <calculatedColumnFormula>Rådatakommune[[#This Row],[Y15-O]]/Rådatakommune[[#This Row],[Folk20-64-O]]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l2" displayName="Tabell2" ref="A3:AO431" totalsRowShown="0" headerRowDxfId="35">
  <autoFilter ref="A3:AO431"/>
  <sortState ref="A3:AC430">
    <sortCondition ref="A2:A430"/>
  </sortState>
  <tableColumns count="41">
    <tableColumn id="1" name="Kommunenavn" dataDxfId="34"/>
    <tableColumn id="2" name="NIBR11">
      <calculatedColumnFormula>'Rådata-K'!N3</calculatedColumnFormula>
    </tableColumn>
    <tableColumn id="3" name="ReisetidOslo" dataDxfId="33">
      <calculatedColumnFormula>'Rådata-K'!M3</calculatedColumnFormula>
    </tableColumn>
    <tableColumn id="4" name="Beftettland" dataDxfId="32">
      <calculatedColumnFormula>'Rådata-K'!O3</calculatedColumnFormula>
    </tableColumn>
    <tableColumn id="33" name="Beftettotal" dataDxfId="31">
      <calculatedColumnFormula>'Rådata-K'!P3</calculatedColumnFormula>
    </tableColumn>
    <tableColumn id="5" name="Befvekst10" dataDxfId="30">
      <calculatedColumnFormula>'Rådata-K'!Q3</calculatedColumnFormula>
    </tableColumn>
    <tableColumn id="6" name="Kvinneandel" dataDxfId="29">
      <calculatedColumnFormula>'Rådata-K'!R3</calculatedColumnFormula>
    </tableColumn>
    <tableColumn id="7" name="Eldreandel" dataDxfId="28">
      <calculatedColumnFormula>'Rådata-K'!S3</calculatedColumnFormula>
    </tableColumn>
    <tableColumn id="8" name="Sysselsettingsvekst10" dataDxfId="27">
      <calculatedColumnFormula>'Rådata-K'!T3</calculatedColumnFormula>
    </tableColumn>
    <tableColumn id="9" name="Yrkesaktivandel" dataDxfId="26">
      <calculatedColumnFormula>'Rådata-K'!U3</calculatedColumnFormula>
    </tableColumn>
    <tableColumn id="10" name="Inntekt" dataDxfId="25">
      <calculatedColumnFormula>'Rådata-K'!L3</calculatedColumnFormula>
    </tableColumn>
    <tableColumn id="11" name="NIBR11-T" dataDxfId="24">
      <calculatedColumnFormula>Tabell2[[#This Row],[NIBR11]]</calculatedColumnFormula>
    </tableColumn>
    <tableColumn id="12" name="ReisetidOslo-T" dataDxfId="23">
      <calculatedColumnFormula>IF(Tabell2[[#This Row],[ReisetidOslo]]&lt;=C$434,C$434,IF(Tabell2[[#This Row],[ReisetidOslo]]&gt;=C$435,C$435,Tabell2[[#This Row],[ReisetidOslo]]))</calculatedColumnFormula>
    </tableColumn>
    <tableColumn id="13" name="Beftettland-T" dataDxfId="22">
      <calculatedColumnFormula>IF(Tabell2[[#This Row],[Beftettland]]&lt;=D$434,D$434,IF(Tabell2[[#This Row],[Beftettland]]&gt;=D$435,D$435,Tabell2[[#This Row],[Beftettland]]))</calculatedColumnFormula>
    </tableColumn>
    <tableColumn id="32" name="Beftettotal-T" dataDxfId="21">
      <calculatedColumnFormula>IF(Tabell2[[#This Row],[Beftettotal]]&lt;=E$434,E$434,IF(Tabell2[[#This Row],[Beftettotal]]&gt;=E$435,E$435,Tabell2[[#This Row],[Beftettotal]]))</calculatedColumnFormula>
    </tableColumn>
    <tableColumn id="14" name="Befvekst10-T" dataDxfId="20">
      <calculatedColumnFormula>IF(Tabell2[[#This Row],[Befvekst10]]&lt;=F$434,F$434,IF(Tabell2[[#This Row],[Befvekst10]]&gt;=F$435,F$435,Tabell2[[#This Row],[Befvekst10]]))</calculatedColumnFormula>
    </tableColumn>
    <tableColumn id="15" name="Kvinneandel-T">
      <calculatedColumnFormula>IF(Tabell2[[#This Row],[Kvinneandel]]&lt;=G$434,G$434,IF(Tabell2[[#This Row],[Kvinneandel]]&gt;=G$435,G$435,Tabell2[[#This Row],[Kvinneandel]]))</calculatedColumnFormula>
    </tableColumn>
    <tableColumn id="16" name="Eldreandel-T">
      <calculatedColumnFormula>IF(Tabell2[[#This Row],[Eldreandel]]&lt;=H$434,H$434,IF(Tabell2[[#This Row],[Eldreandel]]&gt;=H$435,H$435,Tabell2[[#This Row],[Eldreandel]]))</calculatedColumnFormula>
    </tableColumn>
    <tableColumn id="17" name="Sysselsettingsvekst10-T">
      <calculatedColumnFormula>IF(Tabell2[[#This Row],[Sysselsettingsvekst10]]&lt;=I$434,I$434,IF(Tabell2[[#This Row],[Sysselsettingsvekst10]]&gt;=I$435,I$435,Tabell2[[#This Row],[Sysselsettingsvekst10]]))</calculatedColumnFormula>
    </tableColumn>
    <tableColumn id="18" name="Yrkesaktivandel-T">
      <calculatedColumnFormula>IF(Tabell2[[#This Row],[Yrkesaktivandel]]&lt;=J$434,J$434,IF(Tabell2[[#This Row],[Yrkesaktivandel]]&gt;=J$435,J$435,Tabell2[[#This Row],[Yrkesaktivandel]]))</calculatedColumnFormula>
    </tableColumn>
    <tableColumn id="19" name="Inntekt-T">
      <calculatedColumnFormula>IF(Tabell2[[#This Row],[Inntekt]]&lt;=K$434,K$434,IF(Tabell2[[#This Row],[Inntekt]]&gt;=K$435,K$435,Tabell2[[#This Row],[Inntekt]]))</calculatedColumnFormula>
    </tableColumn>
    <tableColumn id="20" name="NIBR11-I" dataDxfId="19">
      <calculatedColumnFormula>IF(Tabell2[[#This Row],[NIBR11-T]]&lt;=L$437,100,IF(Tabell2[[#This Row],[NIBR11-T]]&gt;=L$436,0,100*(L$436-Tabell2[[#This Row],[NIBR11-T]])/L$439))</calculatedColumnFormula>
    </tableColumn>
    <tableColumn id="21" name="ReisetidOslo-I" dataDxfId="18">
      <calculatedColumnFormula>(M$436-Tabell2[[#This Row],[ReisetidOslo-T]])*100/M$439</calculatedColumnFormula>
    </tableColumn>
    <tableColumn id="22" name="Beftettland-I" dataDxfId="17">
      <calculatedColumnFormula>100-(N$436-Tabell2[[#This Row],[Beftettland-T]])*100/N$439</calculatedColumnFormula>
    </tableColumn>
    <tableColumn id="31" name="Beftettotal-I" dataDxfId="16">
      <calculatedColumnFormula>100-(O$436-Tabell2[[#This Row],[Beftettotal-T]])*100/O$439</calculatedColumnFormula>
    </tableColumn>
    <tableColumn id="23" name="Befvekst10-I" dataDxfId="15">
      <calculatedColumnFormula>100-(P$436-Tabell2[[#This Row],[Befvekst10-T]])*100/P$439</calculatedColumnFormula>
    </tableColumn>
    <tableColumn id="24" name="Kvinneandel-I" dataDxfId="14">
      <calculatedColumnFormula>100-(Q$436-Tabell2[[#This Row],[Kvinneandel-T]])*100/Q$439</calculatedColumnFormula>
    </tableColumn>
    <tableColumn id="25" name="Eldreandel-I" dataDxfId="13">
      <calculatedColumnFormula>(R$436-Tabell2[[#This Row],[Eldreandel-T]])*100/R$439</calculatedColumnFormula>
    </tableColumn>
    <tableColumn id="26" name="Sysselsettingsvekst10-I" dataDxfId="12">
      <calculatedColumnFormula>100-(S$436-Tabell2[[#This Row],[Sysselsettingsvekst10-T]])*100/S$439</calculatedColumnFormula>
    </tableColumn>
    <tableColumn id="27" name="Yrkesaktivandel-I" dataDxfId="11">
      <calculatedColumnFormula>100-(T$436-Tabell2[[#This Row],[Yrkesaktivandel-T]])*100/T$439</calculatedColumnFormula>
    </tableColumn>
    <tableColumn id="28" name="Inntekt-I" dataDxfId="10">
      <calculatedColumnFormula>100-(U$436-Tabell2[[#This Row],[Inntekt-T]])*100/U$439</calculatedColumnFormula>
    </tableColumn>
    <tableColumn id="62" name="NIBR11-v" dataDxfId="9"/>
    <tableColumn id="61" name="ReisetidOslo-v" dataDxfId="8"/>
    <tableColumn id="60" name="Beftettotal-v" dataDxfId="7"/>
    <tableColumn id="59" name="Befvekst10-v" dataDxfId="6"/>
    <tableColumn id="58" name="Kvinneandel-v" dataDxfId="5"/>
    <tableColumn id="57" name="Eldreandel-v" dataDxfId="4"/>
    <tableColumn id="56" name="Sysselsettingsvekst10-v" dataDxfId="3"/>
    <tableColumn id="55" name="Yrkesaktivandel-v" dataDxfId="2"/>
    <tableColumn id="54" name="Inntekt-v" dataDxfId="1"/>
    <tableColumn id="30" name="DI2016" dataDxfId="0">
      <calculatedColumnFormula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0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O2" sqref="O2"/>
    </sheetView>
  </sheetViews>
  <sheetFormatPr baseColWidth="10" defaultColWidth="25" defaultRowHeight="14.4" x14ac:dyDescent="0.3"/>
  <cols>
    <col min="2" max="3" width="8.109375" bestFit="1" customWidth="1"/>
    <col min="4" max="4" width="7" bestFit="1" customWidth="1"/>
    <col min="5" max="5" width="12" bestFit="1" customWidth="1"/>
    <col min="6" max="6" width="15.6640625" bestFit="1" customWidth="1"/>
    <col min="7" max="7" width="12.88671875" bestFit="1" customWidth="1"/>
    <col min="8" max="9" width="7" bestFit="1" customWidth="1"/>
    <col min="10" max="10" width="18" bestFit="1" customWidth="1"/>
    <col min="11" max="11" width="18.44140625" bestFit="1" customWidth="1"/>
    <col min="12" max="12" width="21.5546875" bestFit="1" customWidth="1"/>
    <col min="13" max="13" width="14.44140625" customWidth="1"/>
    <col min="14" max="14" width="8.33203125" bestFit="1" customWidth="1"/>
    <col min="15" max="15" width="13.33203125" bestFit="1" customWidth="1"/>
    <col min="16" max="17" width="12.88671875" bestFit="1" customWidth="1"/>
    <col min="18" max="18" width="14.33203125" bestFit="1" customWidth="1"/>
    <col min="19" max="19" width="12.6640625" bestFit="1" customWidth="1"/>
    <col min="20" max="20" width="13.5546875" bestFit="1" customWidth="1"/>
    <col min="21" max="21" width="18.5546875" bestFit="1" customWidth="1"/>
  </cols>
  <sheetData>
    <row r="1" spans="1:21" x14ac:dyDescent="0.3">
      <c r="B1" s="53" t="s">
        <v>498</v>
      </c>
      <c r="C1" s="53"/>
      <c r="D1" s="53"/>
      <c r="E1" s="53"/>
      <c r="F1" s="53"/>
      <c r="G1" s="53"/>
      <c r="H1" s="53"/>
      <c r="I1" s="53"/>
      <c r="J1" s="53"/>
      <c r="K1" s="53"/>
      <c r="L1" s="54" t="s">
        <v>499</v>
      </c>
      <c r="M1" s="54"/>
      <c r="N1" s="54"/>
      <c r="O1" s="55" t="s">
        <v>500</v>
      </c>
      <c r="P1" s="55"/>
      <c r="Q1" s="55"/>
      <c r="R1" s="55"/>
      <c r="S1" s="55"/>
      <c r="T1" s="55"/>
      <c r="U1" s="55"/>
    </row>
    <row r="2" spans="1:21" x14ac:dyDescent="0.3">
      <c r="A2" s="4" t="s">
        <v>0</v>
      </c>
      <c r="B2" s="44" t="s">
        <v>488</v>
      </c>
      <c r="C2" s="44" t="s">
        <v>489</v>
      </c>
      <c r="D2" s="44" t="s">
        <v>487</v>
      </c>
      <c r="E2" s="44" t="s">
        <v>495</v>
      </c>
      <c r="F2" s="44" t="s">
        <v>496</v>
      </c>
      <c r="G2" s="44" t="s">
        <v>497</v>
      </c>
      <c r="H2" s="44" t="s">
        <v>491</v>
      </c>
      <c r="I2" s="44" t="s">
        <v>492</v>
      </c>
      <c r="J2" s="45" t="s">
        <v>493</v>
      </c>
      <c r="K2" s="45" t="s">
        <v>494</v>
      </c>
      <c r="L2" s="45" t="s">
        <v>490</v>
      </c>
      <c r="M2" s="3" t="s">
        <v>485</v>
      </c>
      <c r="N2" s="33" t="s">
        <v>482</v>
      </c>
      <c r="O2" s="6" t="s">
        <v>436</v>
      </c>
      <c r="P2" s="6" t="s">
        <v>437</v>
      </c>
      <c r="Q2" s="6" t="s">
        <v>451</v>
      </c>
      <c r="R2" s="6" t="s">
        <v>440</v>
      </c>
      <c r="S2" s="6" t="s">
        <v>441</v>
      </c>
      <c r="T2" s="6" t="s">
        <v>452</v>
      </c>
      <c r="U2" s="6" t="s">
        <v>453</v>
      </c>
    </row>
    <row r="3" spans="1:21" x14ac:dyDescent="0.3">
      <c r="A3" s="1" t="s">
        <v>1</v>
      </c>
      <c r="B3" s="37">
        <v>27722</v>
      </c>
      <c r="C3" s="37">
        <v>30544</v>
      </c>
      <c r="D3" s="37">
        <v>13386</v>
      </c>
      <c r="E3" s="40">
        <v>5059</v>
      </c>
      <c r="F3" s="41">
        <v>3597</v>
      </c>
      <c r="G3">
        <v>17614</v>
      </c>
      <c r="H3" s="46">
        <v>11753</v>
      </c>
      <c r="I3" s="37">
        <v>12310</v>
      </c>
      <c r="J3" s="42">
        <v>595.4</v>
      </c>
      <c r="K3" s="5">
        <v>642.23</v>
      </c>
      <c r="L3" s="37">
        <v>361300</v>
      </c>
      <c r="M3" s="43">
        <v>75.733333333299996</v>
      </c>
      <c r="N3">
        <v>5</v>
      </c>
      <c r="O3" s="36">
        <f>Rådatakommune[[#This Row],[B16-O]]/Rådatakommune[[#This Row],[Landareal2016-O]]</f>
        <v>51.299966409136715</v>
      </c>
      <c r="P3" s="36">
        <f>Rådatakommune[[#This Row],[B16-O]]/Rådatakommune[[#This Row],[Totalareal2016-O]]</f>
        <v>47.559285614188063</v>
      </c>
      <c r="Q3" s="38">
        <f>Rådatakommune[[#This Row],[B16-O]]/Rådatakommune[[#This Row],[B06-O]]-1</f>
        <v>0.10179640718562877</v>
      </c>
      <c r="R3" s="24">
        <f>Rådatakommune[[#This Row],[Kvinner20-39-O]]/Rådatakommune[[#This Row],[B16-O]]</f>
        <v>0.11776453640649555</v>
      </c>
      <c r="S3" s="24">
        <f>Rådatakommune[[#This Row],[Eldre67+-O]]/Rådatakommune[[#This Row],[B16-O]]</f>
        <v>0.16562991094814039</v>
      </c>
      <c r="T3" s="24">
        <f>Rådatakommune[[#This Row],[S15-O]]/Rådatakommune[[#This Row],[S05-O]]-1</f>
        <v>4.7392155194418528E-2</v>
      </c>
      <c r="U3" s="24">
        <f>Rådatakommune[[#This Row],[Y15-O]]/Rådatakommune[[#This Row],[Folk20-64-O]]</f>
        <v>0.75996366526626546</v>
      </c>
    </row>
    <row r="4" spans="1:21" x14ac:dyDescent="0.3">
      <c r="A4" s="1" t="s">
        <v>2</v>
      </c>
      <c r="B4" s="37">
        <v>28182</v>
      </c>
      <c r="C4" s="37">
        <v>32182</v>
      </c>
      <c r="D4" s="37">
        <v>14309</v>
      </c>
      <c r="E4" s="40">
        <v>5358</v>
      </c>
      <c r="F4" s="41">
        <v>3696</v>
      </c>
      <c r="G4">
        <v>18581</v>
      </c>
      <c r="H4" s="46">
        <v>14082</v>
      </c>
      <c r="I4" s="37">
        <v>13160</v>
      </c>
      <c r="J4" s="42">
        <v>58.01</v>
      </c>
      <c r="K4" s="5">
        <v>63.57</v>
      </c>
      <c r="L4" s="37">
        <v>386300</v>
      </c>
      <c r="M4" s="43">
        <v>41.7166666667</v>
      </c>
      <c r="N4">
        <v>4</v>
      </c>
      <c r="O4" s="36">
        <f>Rådatakommune[[#This Row],[B16-O]]/Rådatakommune[[#This Row],[Landareal2016-O]]</f>
        <v>554.76641958283062</v>
      </c>
      <c r="P4" s="36">
        <f>Rådatakommune[[#This Row],[B16-O]]/Rådatakommune[[#This Row],[Totalareal2016-O]]</f>
        <v>506.24508415919456</v>
      </c>
      <c r="Q4" s="38">
        <f>Rådatakommune[[#This Row],[B16-O]]/Rådatakommune[[#This Row],[B06-O]]-1</f>
        <v>0.14193456816407646</v>
      </c>
      <c r="R4" s="24">
        <f>Rådatakommune[[#This Row],[Kvinner20-39-O]]/Rådatakommune[[#This Row],[B16-O]]</f>
        <v>0.11484680877509167</v>
      </c>
      <c r="S4" s="24">
        <f>Rådatakommune[[#This Row],[Eldre67+-O]]/Rådatakommune[[#This Row],[B16-O]]</f>
        <v>0.16649058479895593</v>
      </c>
      <c r="T4" s="24">
        <f>Rådatakommune[[#This Row],[S15-O]]/Rådatakommune[[#This Row],[S05-O]]-1</f>
        <v>-6.5473654310467255E-2</v>
      </c>
      <c r="U4" s="24">
        <f>Rådatakommune[[#This Row],[Y15-O]]/Rådatakommune[[#This Row],[Folk20-64-O]]</f>
        <v>0.77008772401915937</v>
      </c>
    </row>
    <row r="5" spans="1:21" x14ac:dyDescent="0.3">
      <c r="A5" s="1" t="s">
        <v>3</v>
      </c>
      <c r="B5" s="37">
        <v>50115</v>
      </c>
      <c r="C5" s="37">
        <v>54678</v>
      </c>
      <c r="D5" s="37">
        <v>24279</v>
      </c>
      <c r="E5" s="40">
        <v>8684</v>
      </c>
      <c r="F5" s="41">
        <v>6479</v>
      </c>
      <c r="G5">
        <v>31627</v>
      </c>
      <c r="H5" s="46">
        <v>21665</v>
      </c>
      <c r="I5" s="37">
        <v>26696</v>
      </c>
      <c r="J5" s="42">
        <v>369.74</v>
      </c>
      <c r="K5" s="5">
        <v>404.98</v>
      </c>
      <c r="L5" s="37">
        <v>361600</v>
      </c>
      <c r="M5" s="43">
        <v>59.5333333333</v>
      </c>
      <c r="N5">
        <v>2</v>
      </c>
      <c r="O5" s="36">
        <f>Rådatakommune[[#This Row],[B16-O]]/Rådatakommune[[#This Row],[Landareal2016-O]]</f>
        <v>147.88229566722561</v>
      </c>
      <c r="P5" s="36">
        <f>Rådatakommune[[#This Row],[B16-O]]/Rådatakommune[[#This Row],[Totalareal2016-O]]</f>
        <v>135.01407476912439</v>
      </c>
      <c r="Q5" s="38">
        <f>Rådatakommune[[#This Row],[B16-O]]/Rådatakommune[[#This Row],[B06-O]]-1</f>
        <v>9.1050583657587447E-2</v>
      </c>
      <c r="R5" s="24">
        <f>Rådatakommune[[#This Row],[Kvinner20-39-O]]/Rådatakommune[[#This Row],[B16-O]]</f>
        <v>0.1184937269102747</v>
      </c>
      <c r="S5" s="24">
        <f>Rådatakommune[[#This Row],[Eldre67+-O]]/Rådatakommune[[#This Row],[B16-O]]</f>
        <v>0.15882073228720875</v>
      </c>
      <c r="T5" s="24">
        <f>Rådatakommune[[#This Row],[S15-O]]/Rådatakommune[[#This Row],[S05-O]]-1</f>
        <v>0.23221786291253177</v>
      </c>
      <c r="U5" s="24">
        <f>Rådatakommune[[#This Row],[Y15-O]]/Rådatakommune[[#This Row],[Folk20-64-O]]</f>
        <v>0.76766686691750718</v>
      </c>
    </row>
    <row r="6" spans="1:21" x14ac:dyDescent="0.3">
      <c r="A6" s="1" t="s">
        <v>4</v>
      </c>
      <c r="B6" s="37">
        <v>70791</v>
      </c>
      <c r="C6" s="37">
        <v>78967</v>
      </c>
      <c r="D6" s="37">
        <v>36042</v>
      </c>
      <c r="E6" s="40">
        <v>12387</v>
      </c>
      <c r="F6" s="41">
        <v>9328</v>
      </c>
      <c r="G6">
        <v>46178</v>
      </c>
      <c r="H6" s="46">
        <v>32684</v>
      </c>
      <c r="I6" s="37">
        <v>31589</v>
      </c>
      <c r="J6" s="42">
        <v>283.76</v>
      </c>
      <c r="K6" s="5">
        <v>286.71999999999997</v>
      </c>
      <c r="L6" s="37">
        <v>377500</v>
      </c>
      <c r="M6" s="43">
        <v>62.816666666700002</v>
      </c>
      <c r="N6">
        <v>2</v>
      </c>
      <c r="O6" s="36">
        <f>Rådatakommune[[#This Row],[B16-O]]/Rådatakommune[[#This Row],[Landareal2016-O]]</f>
        <v>278.28798985057796</v>
      </c>
      <c r="P6" s="36">
        <f>Rådatakommune[[#This Row],[B16-O]]/Rådatakommune[[#This Row],[Totalareal2016-O]]</f>
        <v>275.4150390625</v>
      </c>
      <c r="Q6" s="38">
        <f>Rådatakommune[[#This Row],[B16-O]]/Rådatakommune[[#This Row],[B06-O]]-1</f>
        <v>0.11549490754474445</v>
      </c>
      <c r="R6" s="24">
        <f>Rådatakommune[[#This Row],[Kvinner20-39-O]]/Rådatakommune[[#This Row],[B16-O]]</f>
        <v>0.11812529284384617</v>
      </c>
      <c r="S6" s="24">
        <f>Rådatakommune[[#This Row],[Eldre67+-O]]/Rådatakommune[[#This Row],[B16-O]]</f>
        <v>0.1568629934023073</v>
      </c>
      <c r="T6" s="24">
        <f>Rådatakommune[[#This Row],[S15-O]]/Rådatakommune[[#This Row],[S05-O]]-1</f>
        <v>-3.350263125688413E-2</v>
      </c>
      <c r="U6" s="24">
        <f>Rådatakommune[[#This Row],[Y15-O]]/Rådatakommune[[#This Row],[Folk20-64-O]]</f>
        <v>0.78050153752869333</v>
      </c>
    </row>
    <row r="7" spans="1:21" x14ac:dyDescent="0.3">
      <c r="A7" s="1" t="s">
        <v>5</v>
      </c>
      <c r="B7" s="37">
        <v>3821</v>
      </c>
      <c r="C7" s="37">
        <v>4511</v>
      </c>
      <c r="D7" s="37">
        <v>2090</v>
      </c>
      <c r="E7" s="40">
        <v>859</v>
      </c>
      <c r="F7" s="41">
        <v>418</v>
      </c>
      <c r="G7">
        <v>2563</v>
      </c>
      <c r="H7" s="46">
        <v>1037</v>
      </c>
      <c r="I7" s="37">
        <v>1222</v>
      </c>
      <c r="J7" s="42">
        <v>90.06</v>
      </c>
      <c r="K7" s="5">
        <v>90.12</v>
      </c>
      <c r="L7" s="37">
        <v>415800</v>
      </c>
      <c r="M7" s="43">
        <v>88.183333333299998</v>
      </c>
      <c r="N7">
        <v>3</v>
      </c>
      <c r="O7" s="36">
        <f>Rådatakommune[[#This Row],[B16-O]]/Rådatakommune[[#This Row],[Landareal2016-O]]</f>
        <v>50.088829669109479</v>
      </c>
      <c r="P7" s="36">
        <f>Rådatakommune[[#This Row],[B16-O]]/Rådatakommune[[#This Row],[Totalareal2016-O]]</f>
        <v>50.055481580115398</v>
      </c>
      <c r="Q7" s="38">
        <f>Rådatakommune[[#This Row],[B16-O]]/Rådatakommune[[#This Row],[B06-O]]-1</f>
        <v>0.18058099973828834</v>
      </c>
      <c r="R7" s="24">
        <f>Rådatakommune[[#This Row],[Kvinner20-39-O]]/Rådatakommune[[#This Row],[B16-O]]</f>
        <v>9.2662380846818881E-2</v>
      </c>
      <c r="S7" s="24">
        <f>Rådatakommune[[#This Row],[Eldre67+-O]]/Rådatakommune[[#This Row],[B16-O]]</f>
        <v>0.19042340944358235</v>
      </c>
      <c r="T7" s="24">
        <f>Rådatakommune[[#This Row],[S15-O]]/Rådatakommune[[#This Row],[S05-O]]-1</f>
        <v>0.17839922854387646</v>
      </c>
      <c r="U7" s="24">
        <f>Rådatakommune[[#This Row],[Y15-O]]/Rådatakommune[[#This Row],[Folk20-64-O]]</f>
        <v>0.81545064377682408</v>
      </c>
    </row>
    <row r="8" spans="1:21" x14ac:dyDescent="0.3">
      <c r="A8" s="1" t="s">
        <v>6</v>
      </c>
      <c r="B8" s="37">
        <v>1456</v>
      </c>
      <c r="C8" s="37">
        <v>1404</v>
      </c>
      <c r="D8" s="37">
        <v>663</v>
      </c>
      <c r="E8" s="40">
        <v>256</v>
      </c>
      <c r="F8" s="41">
        <v>130</v>
      </c>
      <c r="G8">
        <v>792</v>
      </c>
      <c r="H8" s="46">
        <v>359</v>
      </c>
      <c r="I8" s="37">
        <v>357</v>
      </c>
      <c r="J8" s="42">
        <v>281.93</v>
      </c>
      <c r="K8" s="5">
        <v>319.27</v>
      </c>
      <c r="L8" s="37">
        <v>371100</v>
      </c>
      <c r="M8" s="43">
        <v>90.233333333299996</v>
      </c>
      <c r="N8">
        <v>5</v>
      </c>
      <c r="O8" s="36">
        <f>Rådatakommune[[#This Row],[B16-O]]/Rådatakommune[[#This Row],[Landareal2016-O]]</f>
        <v>4.9799595644308869</v>
      </c>
      <c r="P8" s="36">
        <f>Rådatakommune[[#This Row],[B16-O]]/Rådatakommune[[#This Row],[Totalareal2016-O]]</f>
        <v>4.3975318695774739</v>
      </c>
      <c r="Q8" s="38">
        <f>Rådatakommune[[#This Row],[B16-O]]/Rådatakommune[[#This Row],[B06-O]]-1</f>
        <v>-3.5714285714285698E-2</v>
      </c>
      <c r="R8" s="24">
        <f>Rådatakommune[[#This Row],[Kvinner20-39-O]]/Rådatakommune[[#This Row],[B16-O]]</f>
        <v>9.2592592592592587E-2</v>
      </c>
      <c r="S8" s="24">
        <f>Rådatakommune[[#This Row],[Eldre67+-O]]/Rådatakommune[[#This Row],[B16-O]]</f>
        <v>0.18233618233618235</v>
      </c>
      <c r="T8" s="24">
        <f>Rådatakommune[[#This Row],[S15-O]]/Rådatakommune[[#This Row],[S05-O]]-1</f>
        <v>-5.5710306406685506E-3</v>
      </c>
      <c r="U8" s="24">
        <f>Rådatakommune[[#This Row],[Y15-O]]/Rådatakommune[[#This Row],[Folk20-64-O]]</f>
        <v>0.83712121212121215</v>
      </c>
    </row>
    <row r="9" spans="1:21" x14ac:dyDescent="0.3">
      <c r="A9" s="1" t="s">
        <v>7</v>
      </c>
      <c r="B9" s="37">
        <v>3505</v>
      </c>
      <c r="C9" s="37">
        <v>3610</v>
      </c>
      <c r="D9" s="37">
        <v>1618</v>
      </c>
      <c r="E9" s="40">
        <v>764</v>
      </c>
      <c r="F9" s="41">
        <v>345</v>
      </c>
      <c r="G9">
        <v>1971</v>
      </c>
      <c r="H9" s="46">
        <v>1252</v>
      </c>
      <c r="I9" s="37">
        <v>1160</v>
      </c>
      <c r="J9" s="42">
        <v>367.65</v>
      </c>
      <c r="K9" s="5">
        <v>412.9</v>
      </c>
      <c r="L9" s="37">
        <v>364500</v>
      </c>
      <c r="M9" s="43">
        <v>65.05</v>
      </c>
      <c r="N9">
        <v>5</v>
      </c>
      <c r="O9" s="36">
        <f>Rådatakommune[[#This Row],[B16-O]]/Rådatakommune[[#This Row],[Landareal2016-O]]</f>
        <v>9.819121447028424</v>
      </c>
      <c r="P9" s="36">
        <f>Rådatakommune[[#This Row],[B16-O]]/Rådatakommune[[#This Row],[Totalareal2016-O]]</f>
        <v>8.7430370549769929</v>
      </c>
      <c r="Q9" s="38">
        <f>Rådatakommune[[#This Row],[B16-O]]/Rådatakommune[[#This Row],[B06-O]]-1</f>
        <v>2.9957203994293913E-2</v>
      </c>
      <c r="R9" s="24">
        <f>Rådatakommune[[#This Row],[Kvinner20-39-O]]/Rådatakommune[[#This Row],[B16-O]]</f>
        <v>9.5567867036011084E-2</v>
      </c>
      <c r="S9" s="24">
        <f>Rådatakommune[[#This Row],[Eldre67+-O]]/Rådatakommune[[#This Row],[B16-O]]</f>
        <v>0.2116343490304709</v>
      </c>
      <c r="T9" s="24">
        <f>Rådatakommune[[#This Row],[S15-O]]/Rådatakommune[[#This Row],[S05-O]]-1</f>
        <v>-7.348242811501593E-2</v>
      </c>
      <c r="U9" s="24">
        <f>Rådatakommune[[#This Row],[Y15-O]]/Rådatakommune[[#This Row],[Folk20-64-O]]</f>
        <v>0.82090309487569757</v>
      </c>
    </row>
    <row r="10" spans="1:21" x14ac:dyDescent="0.3">
      <c r="A10" s="1" t="s">
        <v>8</v>
      </c>
      <c r="B10" s="37">
        <v>670</v>
      </c>
      <c r="C10" s="37">
        <v>672</v>
      </c>
      <c r="D10" s="37">
        <v>336</v>
      </c>
      <c r="E10" s="40">
        <v>142</v>
      </c>
      <c r="F10" s="41">
        <v>60</v>
      </c>
      <c r="G10">
        <v>379</v>
      </c>
      <c r="H10" s="46">
        <v>180</v>
      </c>
      <c r="I10" s="37">
        <v>233</v>
      </c>
      <c r="J10" s="42">
        <v>158.88999999999999</v>
      </c>
      <c r="K10" s="5">
        <v>183.14</v>
      </c>
      <c r="L10" s="37">
        <v>373200</v>
      </c>
      <c r="M10" s="43">
        <v>68.150000000000006</v>
      </c>
      <c r="N10">
        <v>1</v>
      </c>
      <c r="O10" s="36">
        <f>Rådatakommune[[#This Row],[B16-O]]/Rådatakommune[[#This Row],[Landareal2016-O]]</f>
        <v>4.2293410535590663</v>
      </c>
      <c r="P10" s="36">
        <f>Rådatakommune[[#This Row],[B16-O]]/Rådatakommune[[#This Row],[Totalareal2016-O]]</f>
        <v>3.669324014415202</v>
      </c>
      <c r="Q10" s="38">
        <f>Rådatakommune[[#This Row],[B16-O]]/Rådatakommune[[#This Row],[B06-O]]-1</f>
        <v>2.9850746268655914E-3</v>
      </c>
      <c r="R10" s="24">
        <f>Rådatakommune[[#This Row],[Kvinner20-39-O]]/Rådatakommune[[#This Row],[B16-O]]</f>
        <v>8.9285714285714288E-2</v>
      </c>
      <c r="S10" s="24">
        <f>Rådatakommune[[#This Row],[Eldre67+-O]]/Rådatakommune[[#This Row],[B16-O]]</f>
        <v>0.21130952380952381</v>
      </c>
      <c r="T10" s="24">
        <f>Rådatakommune[[#This Row],[S15-O]]/Rådatakommune[[#This Row],[S05-O]]-1</f>
        <v>0.29444444444444451</v>
      </c>
      <c r="U10" s="24">
        <f>Rådatakommune[[#This Row],[Y15-O]]/Rådatakommune[[#This Row],[Folk20-64-O]]</f>
        <v>0.88654353562005273</v>
      </c>
    </row>
    <row r="11" spans="1:21" x14ac:dyDescent="0.3">
      <c r="A11" s="1" t="s">
        <v>9</v>
      </c>
      <c r="B11" s="37">
        <v>5013</v>
      </c>
      <c r="C11" s="37">
        <v>5343</v>
      </c>
      <c r="D11" s="37">
        <v>2613</v>
      </c>
      <c r="E11" s="40">
        <v>890</v>
      </c>
      <c r="F11" s="41">
        <v>543</v>
      </c>
      <c r="G11">
        <v>3090</v>
      </c>
      <c r="H11" s="46">
        <v>1363</v>
      </c>
      <c r="I11" s="37">
        <v>1517</v>
      </c>
      <c r="J11" s="42">
        <v>187.68</v>
      </c>
      <c r="K11" s="5">
        <v>204.45000000000002</v>
      </c>
      <c r="L11" s="37">
        <v>374100</v>
      </c>
      <c r="M11" s="43">
        <v>54.3</v>
      </c>
      <c r="N11">
        <v>5</v>
      </c>
      <c r="O11" s="36">
        <f>Rådatakommune[[#This Row],[B16-O]]/Rådatakommune[[#This Row],[Landareal2016-O]]</f>
        <v>28.46867007672634</v>
      </c>
      <c r="P11" s="36">
        <f>Rådatakommune[[#This Row],[B16-O]]/Rådatakommune[[#This Row],[Totalareal2016-O]]</f>
        <v>26.133528980190754</v>
      </c>
      <c r="Q11" s="38">
        <f>Rådatakommune[[#This Row],[B16-O]]/Rådatakommune[[#This Row],[B06-O]]-1</f>
        <v>6.5828845002992242E-2</v>
      </c>
      <c r="R11" s="24">
        <f>Rådatakommune[[#This Row],[Kvinner20-39-O]]/Rådatakommune[[#This Row],[B16-O]]</f>
        <v>0.10162829870859068</v>
      </c>
      <c r="S11" s="24">
        <f>Rådatakommune[[#This Row],[Eldre67+-O]]/Rådatakommune[[#This Row],[B16-O]]</f>
        <v>0.16657308628111547</v>
      </c>
      <c r="T11" s="24">
        <f>Rådatakommune[[#This Row],[S15-O]]/Rådatakommune[[#This Row],[S05-O]]-1</f>
        <v>0.11298606016140855</v>
      </c>
      <c r="U11" s="24">
        <f>Rådatakommune[[#This Row],[Y15-O]]/Rådatakommune[[#This Row],[Folk20-64-O]]</f>
        <v>0.84563106796116505</v>
      </c>
    </row>
    <row r="12" spans="1:21" x14ac:dyDescent="0.3">
      <c r="A12" s="1" t="s">
        <v>10</v>
      </c>
      <c r="B12" s="37">
        <v>4856</v>
      </c>
      <c r="C12" s="37">
        <v>5736</v>
      </c>
      <c r="D12" s="37">
        <v>2748</v>
      </c>
      <c r="E12" s="40">
        <v>877</v>
      </c>
      <c r="F12" s="41">
        <v>665</v>
      </c>
      <c r="G12">
        <v>3253</v>
      </c>
      <c r="H12" s="46">
        <v>1712</v>
      </c>
      <c r="I12" s="37">
        <v>1955</v>
      </c>
      <c r="J12" s="42">
        <v>133.47999999999999</v>
      </c>
      <c r="K12" s="5">
        <v>142.03</v>
      </c>
      <c r="L12" s="37">
        <v>393100</v>
      </c>
      <c r="M12" s="43">
        <v>39.75</v>
      </c>
      <c r="N12">
        <v>1</v>
      </c>
      <c r="O12" s="36">
        <f>Rådatakommune[[#This Row],[B16-O]]/Rådatakommune[[#This Row],[Landareal2016-O]]</f>
        <v>42.972729997003299</v>
      </c>
      <c r="P12" s="36">
        <f>Rådatakommune[[#This Row],[B16-O]]/Rådatakommune[[#This Row],[Totalareal2016-O]]</f>
        <v>40.385833978736883</v>
      </c>
      <c r="Q12" s="38">
        <f>Rådatakommune[[#This Row],[B16-O]]/Rådatakommune[[#This Row],[B06-O]]-1</f>
        <v>0.1812191103789127</v>
      </c>
      <c r="R12" s="24">
        <f>Rådatakommune[[#This Row],[Kvinner20-39-O]]/Rådatakommune[[#This Row],[B16-O]]</f>
        <v>0.11593444909344491</v>
      </c>
      <c r="S12" s="24">
        <f>Rådatakommune[[#This Row],[Eldre67+-O]]/Rådatakommune[[#This Row],[B16-O]]</f>
        <v>0.15289400278940027</v>
      </c>
      <c r="T12" s="24">
        <f>Rådatakommune[[#This Row],[S15-O]]/Rådatakommune[[#This Row],[S05-O]]-1</f>
        <v>0.14193925233644866</v>
      </c>
      <c r="U12" s="24">
        <f>Rådatakommune[[#This Row],[Y15-O]]/Rådatakommune[[#This Row],[Folk20-64-O]]</f>
        <v>0.84475868429142331</v>
      </c>
    </row>
    <row r="13" spans="1:21" x14ac:dyDescent="0.3">
      <c r="A13" s="1" t="s">
        <v>11</v>
      </c>
      <c r="B13" s="37">
        <v>14184</v>
      </c>
      <c r="C13" s="37">
        <v>15615</v>
      </c>
      <c r="D13" s="37">
        <v>7004</v>
      </c>
      <c r="E13" s="40">
        <v>2356</v>
      </c>
      <c r="F13" s="41">
        <v>1847</v>
      </c>
      <c r="G13">
        <v>9040</v>
      </c>
      <c r="H13" s="46">
        <v>5710</v>
      </c>
      <c r="I13" s="37">
        <v>5567</v>
      </c>
      <c r="J13" s="42">
        <v>66.069999999999993</v>
      </c>
      <c r="K13" s="5">
        <v>69.149999999999991</v>
      </c>
      <c r="L13" s="37">
        <v>371900</v>
      </c>
      <c r="M13" s="43">
        <v>43.583333333299997</v>
      </c>
      <c r="N13">
        <v>5</v>
      </c>
      <c r="O13" s="36">
        <f>Rådatakommune[[#This Row],[B16-O]]/Rådatakommune[[#This Row],[Landareal2016-O]]</f>
        <v>236.34024519449071</v>
      </c>
      <c r="P13" s="36">
        <f>Rådatakommune[[#This Row],[B16-O]]/Rådatakommune[[#This Row],[Totalareal2016-O]]</f>
        <v>225.81344902386121</v>
      </c>
      <c r="Q13" s="38">
        <f>Rådatakommune[[#This Row],[B16-O]]/Rådatakommune[[#This Row],[B06-O]]-1</f>
        <v>0.10088832487309651</v>
      </c>
      <c r="R13" s="24">
        <f>Rådatakommune[[#This Row],[Kvinner20-39-O]]/Rådatakommune[[#This Row],[B16-O]]</f>
        <v>0.11828370156900417</v>
      </c>
      <c r="S13" s="24">
        <f>Rådatakommune[[#This Row],[Eldre67+-O]]/Rådatakommune[[#This Row],[B16-O]]</f>
        <v>0.15088056356067883</v>
      </c>
      <c r="T13" s="24">
        <f>Rådatakommune[[#This Row],[S15-O]]/Rådatakommune[[#This Row],[S05-O]]-1</f>
        <v>-2.5043782837127826E-2</v>
      </c>
      <c r="U13" s="24">
        <f>Rådatakommune[[#This Row],[Y15-O]]/Rådatakommune[[#This Row],[Folk20-64-O]]</f>
        <v>0.77477876106194687</v>
      </c>
    </row>
    <row r="14" spans="1:21" x14ac:dyDescent="0.3">
      <c r="A14" s="1" t="s">
        <v>12</v>
      </c>
      <c r="B14" s="37">
        <v>10267</v>
      </c>
      <c r="C14" s="37">
        <v>11396</v>
      </c>
      <c r="D14" s="37">
        <v>5242</v>
      </c>
      <c r="E14" s="40">
        <v>1833</v>
      </c>
      <c r="F14" s="41">
        <v>1279</v>
      </c>
      <c r="G14">
        <v>6540</v>
      </c>
      <c r="H14" s="46">
        <v>4693</v>
      </c>
      <c r="I14" s="37">
        <v>4807</v>
      </c>
      <c r="J14" s="42">
        <v>228.76</v>
      </c>
      <c r="K14" s="5">
        <v>235.91</v>
      </c>
      <c r="L14" s="37">
        <v>359100</v>
      </c>
      <c r="M14" s="43">
        <v>51.433333333299998</v>
      </c>
      <c r="N14">
        <v>5</v>
      </c>
      <c r="O14" s="36">
        <f>Rådatakommune[[#This Row],[B16-O]]/Rådatakommune[[#This Row],[Landareal2016-O]]</f>
        <v>49.81640146878825</v>
      </c>
      <c r="P14" s="36">
        <f>Rådatakommune[[#This Row],[B16-O]]/Rådatakommune[[#This Row],[Totalareal2016-O]]</f>
        <v>48.306557585519904</v>
      </c>
      <c r="Q14" s="38">
        <f>Rådatakommune[[#This Row],[B16-O]]/Rådatakommune[[#This Row],[B06-O]]-1</f>
        <v>0.10996396220901916</v>
      </c>
      <c r="R14" s="24">
        <f>Rådatakommune[[#This Row],[Kvinner20-39-O]]/Rådatakommune[[#This Row],[B16-O]]</f>
        <v>0.11223236223236223</v>
      </c>
      <c r="S14" s="24">
        <f>Rådatakommune[[#This Row],[Eldre67+-O]]/Rådatakommune[[#This Row],[B16-O]]</f>
        <v>0.16084591084591085</v>
      </c>
      <c r="T14" s="24">
        <f>Rådatakommune[[#This Row],[S15-O]]/Rådatakommune[[#This Row],[S05-O]]-1</f>
        <v>2.4291497975708509E-2</v>
      </c>
      <c r="U14" s="24">
        <f>Rådatakommune[[#This Row],[Y15-O]]/Rådatakommune[[#This Row],[Folk20-64-O]]</f>
        <v>0.80152905198776758</v>
      </c>
    </row>
    <row r="15" spans="1:21" x14ac:dyDescent="0.3">
      <c r="A15" s="1" t="s">
        <v>13</v>
      </c>
      <c r="B15" s="37">
        <v>3400</v>
      </c>
      <c r="C15" s="37">
        <v>3742</v>
      </c>
      <c r="D15" s="37">
        <v>1849</v>
      </c>
      <c r="E15" s="40">
        <v>514</v>
      </c>
      <c r="F15" s="41">
        <v>436</v>
      </c>
      <c r="G15">
        <v>2151</v>
      </c>
      <c r="H15" s="46">
        <v>934</v>
      </c>
      <c r="I15" s="37">
        <v>955</v>
      </c>
      <c r="J15" s="42">
        <v>93.04</v>
      </c>
      <c r="K15" s="5">
        <v>101.21000000000001</v>
      </c>
      <c r="L15" s="37">
        <v>382800</v>
      </c>
      <c r="M15" s="43">
        <v>52.05</v>
      </c>
      <c r="N15">
        <v>5</v>
      </c>
      <c r="O15" s="36">
        <f>Rådatakommune[[#This Row],[B16-O]]/Rådatakommune[[#This Row],[Landareal2016-O]]</f>
        <v>40.219260533104041</v>
      </c>
      <c r="P15" s="36">
        <f>Rådatakommune[[#This Row],[B16-O]]/Rådatakommune[[#This Row],[Totalareal2016-O]]</f>
        <v>36.972631162928565</v>
      </c>
      <c r="Q15" s="38">
        <f>Rådatakommune[[#This Row],[B16-O]]/Rådatakommune[[#This Row],[B06-O]]-1</f>
        <v>0.10058823529411764</v>
      </c>
      <c r="R15" s="24">
        <f>Rådatakommune[[#This Row],[Kvinner20-39-O]]/Rådatakommune[[#This Row],[B16-O]]</f>
        <v>0.11651523249599145</v>
      </c>
      <c r="S15" s="24">
        <f>Rådatakommune[[#This Row],[Eldre67+-O]]/Rådatakommune[[#This Row],[B16-O]]</f>
        <v>0.1373597006948156</v>
      </c>
      <c r="T15" s="24">
        <f>Rådatakommune[[#This Row],[S15-O]]/Rådatakommune[[#This Row],[S05-O]]-1</f>
        <v>2.24839400428265E-2</v>
      </c>
      <c r="U15" s="24">
        <f>Rådatakommune[[#This Row],[Y15-O]]/Rådatakommune[[#This Row],[Folk20-64-O]]</f>
        <v>0.85960018596001864</v>
      </c>
    </row>
    <row r="16" spans="1:21" x14ac:dyDescent="0.3">
      <c r="A16" s="1" t="s">
        <v>14</v>
      </c>
      <c r="B16" s="37">
        <v>7366</v>
      </c>
      <c r="C16" s="37">
        <v>8084</v>
      </c>
      <c r="D16" s="37">
        <v>3834</v>
      </c>
      <c r="E16" s="40">
        <v>1292</v>
      </c>
      <c r="F16" s="41">
        <v>898</v>
      </c>
      <c r="G16">
        <v>4624</v>
      </c>
      <c r="H16" s="46">
        <v>3100</v>
      </c>
      <c r="I16" s="37">
        <v>2969</v>
      </c>
      <c r="J16" s="42">
        <v>420.65</v>
      </c>
      <c r="K16" s="5">
        <v>434.71</v>
      </c>
      <c r="L16" s="37">
        <v>372600</v>
      </c>
      <c r="M16" s="43">
        <v>60.766666666699997</v>
      </c>
      <c r="N16">
        <v>2</v>
      </c>
      <c r="O16" s="36">
        <f>Rådatakommune[[#This Row],[B16-O]]/Rådatakommune[[#This Row],[Landareal2016-O]]</f>
        <v>19.217877094972067</v>
      </c>
      <c r="P16" s="36">
        <f>Rådatakommune[[#This Row],[B16-O]]/Rådatakommune[[#This Row],[Totalareal2016-O]]</f>
        <v>18.596305583032368</v>
      </c>
      <c r="Q16" s="38">
        <f>Rådatakommune[[#This Row],[B16-O]]/Rådatakommune[[#This Row],[B06-O]]-1</f>
        <v>9.7474884604941581E-2</v>
      </c>
      <c r="R16" s="24">
        <f>Rådatakommune[[#This Row],[Kvinner20-39-O]]/Rådatakommune[[#This Row],[B16-O]]</f>
        <v>0.11108362196932212</v>
      </c>
      <c r="S16" s="24">
        <f>Rådatakommune[[#This Row],[Eldre67+-O]]/Rådatakommune[[#This Row],[B16-O]]</f>
        <v>0.15982187036120732</v>
      </c>
      <c r="T16" s="24">
        <f>Rådatakommune[[#This Row],[S15-O]]/Rådatakommune[[#This Row],[S05-O]]-1</f>
        <v>-4.2258064516129012E-2</v>
      </c>
      <c r="U16" s="24">
        <f>Rådatakommune[[#This Row],[Y15-O]]/Rådatakommune[[#This Row],[Folk20-64-O]]</f>
        <v>0.82915224913494812</v>
      </c>
    </row>
    <row r="17" spans="1:21" x14ac:dyDescent="0.3">
      <c r="A17" s="1" t="s">
        <v>15</v>
      </c>
      <c r="B17" s="37">
        <v>6544</v>
      </c>
      <c r="C17" s="37">
        <v>7357</v>
      </c>
      <c r="D17" s="37">
        <v>3521</v>
      </c>
      <c r="E17" s="40">
        <v>1262</v>
      </c>
      <c r="F17" s="41">
        <v>763</v>
      </c>
      <c r="G17">
        <v>4167</v>
      </c>
      <c r="H17" s="46">
        <v>2255</v>
      </c>
      <c r="I17" s="37">
        <v>2831</v>
      </c>
      <c r="J17" s="42">
        <v>105.35</v>
      </c>
      <c r="K17" s="5">
        <v>118.77</v>
      </c>
      <c r="L17" s="37">
        <v>398400</v>
      </c>
      <c r="M17" s="43">
        <v>48.9666666667</v>
      </c>
      <c r="N17">
        <v>2</v>
      </c>
      <c r="O17" s="36">
        <f>Rådatakommune[[#This Row],[B16-O]]/Rådatakommune[[#This Row],[Landareal2016-O]]</f>
        <v>69.833887043189378</v>
      </c>
      <c r="P17" s="36">
        <f>Rådatakommune[[#This Row],[B16-O]]/Rådatakommune[[#This Row],[Totalareal2016-O]]</f>
        <v>61.943251662877834</v>
      </c>
      <c r="Q17" s="38">
        <f>Rådatakommune[[#This Row],[B16-O]]/Rådatakommune[[#This Row],[B06-O]]-1</f>
        <v>0.12423594132029336</v>
      </c>
      <c r="R17" s="24">
        <f>Rådatakommune[[#This Row],[Kvinner20-39-O]]/Rådatakommune[[#This Row],[B16-O]]</f>
        <v>0.10371075166508087</v>
      </c>
      <c r="S17" s="24">
        <f>Rådatakommune[[#This Row],[Eldre67+-O]]/Rådatakommune[[#This Row],[B16-O]]</f>
        <v>0.17153731140410494</v>
      </c>
      <c r="T17" s="24">
        <f>Rådatakommune[[#This Row],[S15-O]]/Rådatakommune[[#This Row],[S05-O]]-1</f>
        <v>0.25543237250554318</v>
      </c>
      <c r="U17" s="24">
        <f>Rådatakommune[[#This Row],[Y15-O]]/Rådatakommune[[#This Row],[Folk20-64-O]]</f>
        <v>0.84497240220782333</v>
      </c>
    </row>
    <row r="18" spans="1:21" x14ac:dyDescent="0.3">
      <c r="A18" s="1" t="s">
        <v>16</v>
      </c>
      <c r="B18" s="37">
        <v>13862</v>
      </c>
      <c r="C18" s="37">
        <v>15458</v>
      </c>
      <c r="D18" s="37">
        <v>7281</v>
      </c>
      <c r="E18" s="40">
        <v>2469</v>
      </c>
      <c r="F18" s="41">
        <v>1586</v>
      </c>
      <c r="G18">
        <v>8898</v>
      </c>
      <c r="H18" s="46">
        <v>5003</v>
      </c>
      <c r="I18" s="37">
        <v>6034</v>
      </c>
      <c r="J18" s="42">
        <v>69.739999999999995</v>
      </c>
      <c r="K18" s="5">
        <v>74.19</v>
      </c>
      <c r="L18" s="37">
        <v>411300</v>
      </c>
      <c r="M18" s="43">
        <v>44.2833333333</v>
      </c>
      <c r="N18">
        <v>4</v>
      </c>
      <c r="O18" s="36">
        <f>Rådatakommune[[#This Row],[B16-O]]/Rådatakommune[[#This Row],[Landareal2016-O]]</f>
        <v>221.65184972755952</v>
      </c>
      <c r="P18" s="36">
        <f>Rådatakommune[[#This Row],[B16-O]]/Rådatakommune[[#This Row],[Totalareal2016-O]]</f>
        <v>208.35692141798086</v>
      </c>
      <c r="Q18" s="38">
        <f>Rådatakommune[[#This Row],[B16-O]]/Rådatakommune[[#This Row],[B06-O]]-1</f>
        <v>0.11513490116866243</v>
      </c>
      <c r="R18" s="24">
        <f>Rådatakommune[[#This Row],[Kvinner20-39-O]]/Rådatakommune[[#This Row],[B16-O]]</f>
        <v>0.10260059516108164</v>
      </c>
      <c r="S18" s="24">
        <f>Rådatakommune[[#This Row],[Eldre67+-O]]/Rådatakommune[[#This Row],[B16-O]]</f>
        <v>0.15972312071419331</v>
      </c>
      <c r="T18" s="24">
        <f>Rådatakommune[[#This Row],[S15-O]]/Rådatakommune[[#This Row],[S05-O]]-1</f>
        <v>0.20607635418748749</v>
      </c>
      <c r="U18" s="24">
        <f>Rådatakommune[[#This Row],[Y15-O]]/Rådatakommune[[#This Row],[Folk20-64-O]]</f>
        <v>0.81827376938637897</v>
      </c>
    </row>
    <row r="19" spans="1:21" x14ac:dyDescent="0.3">
      <c r="A19" s="1" t="s">
        <v>17</v>
      </c>
      <c r="B19" s="37">
        <v>4071</v>
      </c>
      <c r="C19" s="37">
        <v>5186</v>
      </c>
      <c r="D19" s="37">
        <v>2639</v>
      </c>
      <c r="E19" s="40">
        <v>619</v>
      </c>
      <c r="F19" s="41">
        <v>657</v>
      </c>
      <c r="G19">
        <v>3085</v>
      </c>
      <c r="H19" s="46">
        <v>1028</v>
      </c>
      <c r="I19" s="37">
        <v>1316</v>
      </c>
      <c r="J19" s="42">
        <v>238.88</v>
      </c>
      <c r="K19" s="5">
        <v>256.95999999999998</v>
      </c>
      <c r="L19" s="37">
        <v>405300</v>
      </c>
      <c r="M19" s="43">
        <v>43.183333333299998</v>
      </c>
      <c r="N19">
        <v>4</v>
      </c>
      <c r="O19" s="36">
        <f>Rådatakommune[[#This Row],[B16-O]]/Rådatakommune[[#This Row],[Landareal2016-O]]</f>
        <v>21.709645010046884</v>
      </c>
      <c r="P19" s="36">
        <f>Rådatakommune[[#This Row],[B16-O]]/Rådatakommune[[#This Row],[Totalareal2016-O]]</f>
        <v>20.182129514321296</v>
      </c>
      <c r="Q19" s="38">
        <f>Rådatakommune[[#This Row],[B16-O]]/Rådatakommune[[#This Row],[B06-O]]-1</f>
        <v>0.27388847948906903</v>
      </c>
      <c r="R19" s="24">
        <f>Rådatakommune[[#This Row],[Kvinner20-39-O]]/Rådatakommune[[#This Row],[B16-O]]</f>
        <v>0.12668723486309294</v>
      </c>
      <c r="S19" s="24">
        <f>Rådatakommune[[#This Row],[Eldre67+-O]]/Rådatakommune[[#This Row],[B16-O]]</f>
        <v>0.11935981488623217</v>
      </c>
      <c r="T19" s="24">
        <f>Rådatakommune[[#This Row],[S15-O]]/Rådatakommune[[#This Row],[S05-O]]-1</f>
        <v>0.2801556420233462</v>
      </c>
      <c r="U19" s="24">
        <f>Rådatakommune[[#This Row],[Y15-O]]/Rådatakommune[[#This Row],[Folk20-64-O]]</f>
        <v>0.85542949756888165</v>
      </c>
    </row>
    <row r="20" spans="1:21" x14ac:dyDescent="0.3">
      <c r="A20" s="1" t="s">
        <v>18</v>
      </c>
      <c r="B20" s="37">
        <v>4564</v>
      </c>
      <c r="C20" s="37">
        <v>5382</v>
      </c>
      <c r="D20" s="37">
        <v>2726</v>
      </c>
      <c r="E20" s="40">
        <v>691</v>
      </c>
      <c r="F20" s="41">
        <v>650</v>
      </c>
      <c r="G20">
        <v>3271</v>
      </c>
      <c r="H20" s="46">
        <v>1036</v>
      </c>
      <c r="I20" s="37">
        <v>1195</v>
      </c>
      <c r="J20" s="42">
        <v>139.38999999999999</v>
      </c>
      <c r="K20" s="5">
        <v>140.38999999999999</v>
      </c>
      <c r="L20" s="37">
        <v>388800</v>
      </c>
      <c r="M20" s="43">
        <v>33.183333333299998</v>
      </c>
      <c r="N20">
        <v>1</v>
      </c>
      <c r="O20" s="36">
        <f>Rådatakommune[[#This Row],[B16-O]]/Rådatakommune[[#This Row],[Landareal2016-O]]</f>
        <v>38.611091183011695</v>
      </c>
      <c r="P20" s="36">
        <f>Rådatakommune[[#This Row],[B16-O]]/Rådatakommune[[#This Row],[Totalareal2016-O]]</f>
        <v>38.33606382220956</v>
      </c>
      <c r="Q20" s="38">
        <f>Rådatakommune[[#This Row],[B16-O]]/Rådatakommune[[#This Row],[B06-O]]-1</f>
        <v>0.17922874671340927</v>
      </c>
      <c r="R20" s="24">
        <f>Rådatakommune[[#This Row],[Kvinner20-39-O]]/Rådatakommune[[#This Row],[B16-O]]</f>
        <v>0.12077294685990338</v>
      </c>
      <c r="S20" s="24">
        <f>Rådatakommune[[#This Row],[Eldre67+-O]]/Rådatakommune[[#This Row],[B16-O]]</f>
        <v>0.12839093273875882</v>
      </c>
      <c r="T20" s="24">
        <f>Rådatakommune[[#This Row],[S15-O]]/Rådatakommune[[#This Row],[S05-O]]-1</f>
        <v>0.15347490347490345</v>
      </c>
      <c r="U20" s="24">
        <f>Rådatakommune[[#This Row],[Y15-O]]/Rådatakommune[[#This Row],[Folk20-64-O]]</f>
        <v>0.83338428615102411</v>
      </c>
    </row>
    <row r="21" spans="1:21" x14ac:dyDescent="0.3">
      <c r="A21" s="2" t="s">
        <v>19</v>
      </c>
      <c r="B21" s="37">
        <v>13159</v>
      </c>
      <c r="C21" s="37">
        <v>16732</v>
      </c>
      <c r="D21" s="37">
        <v>8354</v>
      </c>
      <c r="E21" s="40">
        <v>2230</v>
      </c>
      <c r="F21" s="41">
        <v>1916</v>
      </c>
      <c r="G21">
        <v>9665</v>
      </c>
      <c r="H21" s="46">
        <v>4677</v>
      </c>
      <c r="I21" s="37">
        <v>7044</v>
      </c>
      <c r="J21" s="42">
        <v>133.65</v>
      </c>
      <c r="K21" s="5">
        <v>133.97</v>
      </c>
      <c r="L21" s="37">
        <v>440000</v>
      </c>
      <c r="M21" s="43">
        <v>28.516666666700001</v>
      </c>
      <c r="N21">
        <v>1</v>
      </c>
      <c r="O21" s="36">
        <f>Rådatakommune[[#This Row],[B16-O]]/Rådatakommune[[#This Row],[Landareal2016-O]]</f>
        <v>125.19266741488963</v>
      </c>
      <c r="P21" s="36">
        <f>Rådatakommune[[#This Row],[B16-O]]/Rådatakommune[[#This Row],[Totalareal2016-O]]</f>
        <v>124.89363290288871</v>
      </c>
      <c r="Q21" s="38">
        <f>Rådatakommune[[#This Row],[B16-O]]/Rådatakommune[[#This Row],[B06-O]]-1</f>
        <v>0.27152519188388169</v>
      </c>
      <c r="R21" s="24">
        <f>Rådatakommune[[#This Row],[Kvinner20-39-O]]/Rådatakommune[[#This Row],[B16-O]]</f>
        <v>0.11451111642361941</v>
      </c>
      <c r="S21" s="24">
        <f>Rådatakommune[[#This Row],[Eldre67+-O]]/Rådatakommune[[#This Row],[B16-O]]</f>
        <v>0.133277551996175</v>
      </c>
      <c r="T21" s="24">
        <f>Rådatakommune[[#This Row],[S15-O]]/Rådatakommune[[#This Row],[S05-O]]-1</f>
        <v>0.50609364977549709</v>
      </c>
      <c r="U21" s="24">
        <f>Rådatakommune[[#This Row],[Y15-O]]/Rådatakommune[[#This Row],[Folk20-64-O]]</f>
        <v>0.86435592343507506</v>
      </c>
    </row>
    <row r="22" spans="1:21" x14ac:dyDescent="0.3">
      <c r="A22" s="2" t="s">
        <v>20</v>
      </c>
      <c r="B22" s="37">
        <v>27010</v>
      </c>
      <c r="C22" s="37">
        <v>30261</v>
      </c>
      <c r="D22" s="37">
        <v>15037</v>
      </c>
      <c r="E22" s="40">
        <v>4040</v>
      </c>
      <c r="F22" s="41">
        <v>3471</v>
      </c>
      <c r="G22">
        <v>17394</v>
      </c>
      <c r="H22" s="46">
        <v>11790</v>
      </c>
      <c r="I22" s="37">
        <v>14653</v>
      </c>
      <c r="J22" s="42">
        <v>161.71</v>
      </c>
      <c r="K22" s="5">
        <v>165.53</v>
      </c>
      <c r="L22" s="37">
        <v>445900</v>
      </c>
      <c r="M22" s="43">
        <v>21.816666666700002</v>
      </c>
      <c r="N22">
        <v>1</v>
      </c>
      <c r="O22" s="36">
        <f>Rådatakommune[[#This Row],[B16-O]]/Rådatakommune[[#This Row],[Landareal2016-O]]</f>
        <v>187.13128439799641</v>
      </c>
      <c r="P22" s="36">
        <f>Rådatakommune[[#This Row],[B16-O]]/Rådatakommune[[#This Row],[Totalareal2016-O]]</f>
        <v>182.81278318129645</v>
      </c>
      <c r="Q22" s="38">
        <f>Rådatakommune[[#This Row],[B16-O]]/Rådatakommune[[#This Row],[B06-O]]-1</f>
        <v>0.12036282858200664</v>
      </c>
      <c r="R22" s="24">
        <f>Rådatakommune[[#This Row],[Kvinner20-39-O]]/Rådatakommune[[#This Row],[B16-O]]</f>
        <v>0.11470209180132844</v>
      </c>
      <c r="S22" s="24">
        <f>Rådatakommune[[#This Row],[Eldre67+-O]]/Rådatakommune[[#This Row],[B16-O]]</f>
        <v>0.1335051716731106</v>
      </c>
      <c r="T22" s="24">
        <f>Rådatakommune[[#This Row],[S15-O]]/Rådatakommune[[#This Row],[S05-O]]-1</f>
        <v>0.24283290924512291</v>
      </c>
      <c r="U22" s="24">
        <f>Rådatakommune[[#This Row],[Y15-O]]/Rådatakommune[[#This Row],[Folk20-64-O]]</f>
        <v>0.86449350350695642</v>
      </c>
    </row>
    <row r="23" spans="1:21" x14ac:dyDescent="0.3">
      <c r="A23" s="2" t="s">
        <v>21</v>
      </c>
      <c r="B23" s="37">
        <v>14530</v>
      </c>
      <c r="C23" s="37">
        <v>18992</v>
      </c>
      <c r="D23" s="37">
        <v>9463</v>
      </c>
      <c r="E23" s="40">
        <v>2336</v>
      </c>
      <c r="F23" s="41">
        <v>2675</v>
      </c>
      <c r="G23">
        <v>11466</v>
      </c>
      <c r="H23" s="46">
        <v>7107</v>
      </c>
      <c r="I23" s="37">
        <v>8574</v>
      </c>
      <c r="J23" s="42">
        <v>101.27</v>
      </c>
      <c r="K23" s="5">
        <v>103.1</v>
      </c>
      <c r="L23" s="37">
        <v>417200</v>
      </c>
      <c r="M23" s="43">
        <v>26.75</v>
      </c>
      <c r="N23">
        <v>1</v>
      </c>
      <c r="O23" s="36">
        <f>Rådatakommune[[#This Row],[B16-O]]/Rådatakommune[[#This Row],[Landareal2016-O]]</f>
        <v>187.53826404660808</v>
      </c>
      <c r="P23" s="36">
        <f>Rådatakommune[[#This Row],[B16-O]]/Rådatakommune[[#This Row],[Totalareal2016-O]]</f>
        <v>184.20950533462658</v>
      </c>
      <c r="Q23" s="38">
        <f>Rådatakommune[[#This Row],[B16-O]]/Rådatakommune[[#This Row],[B06-O]]-1</f>
        <v>0.3070887818306951</v>
      </c>
      <c r="R23" s="24">
        <f>Rådatakommune[[#This Row],[Kvinner20-39-O]]/Rådatakommune[[#This Row],[B16-O]]</f>
        <v>0.14084877843302443</v>
      </c>
      <c r="S23" s="24">
        <f>Rådatakommune[[#This Row],[Eldre67+-O]]/Rådatakommune[[#This Row],[B16-O]]</f>
        <v>0.12299915754001685</v>
      </c>
      <c r="T23" s="24">
        <f>Rådatakommune[[#This Row],[S15-O]]/Rådatakommune[[#This Row],[S05-O]]-1</f>
        <v>0.20641620937104266</v>
      </c>
      <c r="U23" s="24">
        <f>Rådatakommune[[#This Row],[Y15-O]]/Rådatakommune[[#This Row],[Folk20-64-O]]</f>
        <v>0.82530961102389677</v>
      </c>
    </row>
    <row r="24" spans="1:21" x14ac:dyDescent="0.3">
      <c r="A24" s="2" t="s">
        <v>22</v>
      </c>
      <c r="B24" s="37">
        <v>13585</v>
      </c>
      <c r="C24" s="37">
        <v>15695</v>
      </c>
      <c r="D24" s="37">
        <v>7889</v>
      </c>
      <c r="E24" s="40">
        <v>2569</v>
      </c>
      <c r="F24" s="41">
        <v>1565</v>
      </c>
      <c r="G24">
        <v>8981</v>
      </c>
      <c r="H24" s="46">
        <v>3794</v>
      </c>
      <c r="I24" s="37">
        <v>4524</v>
      </c>
      <c r="J24" s="42">
        <v>84.69</v>
      </c>
      <c r="K24" s="5">
        <v>85.7</v>
      </c>
      <c r="L24" s="37">
        <v>479500</v>
      </c>
      <c r="M24" s="43">
        <v>30.2166666667</v>
      </c>
      <c r="N24">
        <v>1</v>
      </c>
      <c r="O24" s="36">
        <f>Rådatakommune[[#This Row],[B16-O]]/Rådatakommune[[#This Row],[Landareal2016-O]]</f>
        <v>185.32294249616248</v>
      </c>
      <c r="P24" s="36">
        <f>Rådatakommune[[#This Row],[B16-O]]/Rådatakommune[[#This Row],[Totalareal2016-O]]</f>
        <v>183.13885647607935</v>
      </c>
      <c r="Q24" s="38">
        <f>Rådatakommune[[#This Row],[B16-O]]/Rådatakommune[[#This Row],[B06-O]]-1</f>
        <v>0.15531836584468173</v>
      </c>
      <c r="R24" s="24">
        <f>Rådatakommune[[#This Row],[Kvinner20-39-O]]/Rådatakommune[[#This Row],[B16-O]]</f>
        <v>9.9713284485504941E-2</v>
      </c>
      <c r="S24" s="24">
        <f>Rådatakommune[[#This Row],[Eldre67+-O]]/Rådatakommune[[#This Row],[B16-O]]</f>
        <v>0.16368270149729214</v>
      </c>
      <c r="T24" s="24">
        <f>Rådatakommune[[#This Row],[S15-O]]/Rådatakommune[[#This Row],[S05-O]]-1</f>
        <v>0.19240906694781224</v>
      </c>
      <c r="U24" s="24">
        <f>Rådatakommune[[#This Row],[Y15-O]]/Rådatakommune[[#This Row],[Folk20-64-O]]</f>
        <v>0.87840997661730325</v>
      </c>
    </row>
    <row r="25" spans="1:21" x14ac:dyDescent="0.3">
      <c r="A25" s="2" t="s">
        <v>23</v>
      </c>
      <c r="B25" s="37">
        <v>16541</v>
      </c>
      <c r="C25" s="37">
        <v>18623</v>
      </c>
      <c r="D25" s="37">
        <v>9373</v>
      </c>
      <c r="E25" s="40">
        <v>2378</v>
      </c>
      <c r="F25" s="41">
        <v>2006</v>
      </c>
      <c r="G25">
        <v>10860</v>
      </c>
      <c r="H25" s="46">
        <v>4203</v>
      </c>
      <c r="I25" s="37">
        <v>4716</v>
      </c>
      <c r="J25" s="42">
        <v>60.74</v>
      </c>
      <c r="K25" s="5">
        <v>61.46</v>
      </c>
      <c r="L25" s="37">
        <v>450100</v>
      </c>
      <c r="M25" s="43">
        <v>40.9</v>
      </c>
      <c r="N25">
        <v>1</v>
      </c>
      <c r="O25" s="36">
        <f>Rådatakommune[[#This Row],[B16-O]]/Rådatakommune[[#This Row],[Landareal2016-O]]</f>
        <v>306.60190977938754</v>
      </c>
      <c r="P25" s="36">
        <f>Rådatakommune[[#This Row],[B16-O]]/Rådatakommune[[#This Row],[Totalareal2016-O]]</f>
        <v>303.01008786202408</v>
      </c>
      <c r="Q25" s="38">
        <f>Rådatakommune[[#This Row],[B16-O]]/Rådatakommune[[#This Row],[B06-O]]-1</f>
        <v>0.12586905265703408</v>
      </c>
      <c r="R25" s="24">
        <f>Rådatakommune[[#This Row],[Kvinner20-39-O]]/Rådatakommune[[#This Row],[B16-O]]</f>
        <v>0.10771626483380765</v>
      </c>
      <c r="S25" s="24">
        <f>Rådatakommune[[#This Row],[Eldre67+-O]]/Rådatakommune[[#This Row],[B16-O]]</f>
        <v>0.12769156419481287</v>
      </c>
      <c r="T25" s="24">
        <f>Rådatakommune[[#This Row],[S15-O]]/Rådatakommune[[#This Row],[S05-O]]-1</f>
        <v>0.12205567451820132</v>
      </c>
      <c r="U25" s="24">
        <f>Rådatakommune[[#This Row],[Y15-O]]/Rådatakommune[[#This Row],[Folk20-64-O]]</f>
        <v>0.86307550644567221</v>
      </c>
    </row>
    <row r="26" spans="1:21" x14ac:dyDescent="0.3">
      <c r="A26" s="2" t="s">
        <v>24</v>
      </c>
      <c r="B26" s="37">
        <v>23897</v>
      </c>
      <c r="C26" s="37">
        <v>26792</v>
      </c>
      <c r="D26" s="37">
        <v>13369</v>
      </c>
      <c r="E26" s="40">
        <v>3988</v>
      </c>
      <c r="F26" s="41">
        <v>2836</v>
      </c>
      <c r="G26">
        <v>15186</v>
      </c>
      <c r="H26" s="46">
        <v>8691</v>
      </c>
      <c r="I26" s="37">
        <v>9800</v>
      </c>
      <c r="J26" s="42">
        <v>34.270000000000003</v>
      </c>
      <c r="K26" s="5">
        <v>37.040000000000006</v>
      </c>
      <c r="L26" s="37">
        <v>500500</v>
      </c>
      <c r="M26" s="43">
        <v>13.666666666699999</v>
      </c>
      <c r="N26">
        <v>1</v>
      </c>
      <c r="O26" s="36">
        <f>Rådatakommune[[#This Row],[B16-O]]/Rådatakommune[[#This Row],[Landareal2016-O]]</f>
        <v>781.79165450831624</v>
      </c>
      <c r="P26" s="36">
        <f>Rådatakommune[[#This Row],[B16-O]]/Rådatakommune[[#This Row],[Totalareal2016-O]]</f>
        <v>723.32613390928714</v>
      </c>
      <c r="Q26" s="38">
        <f>Rådatakommune[[#This Row],[B16-O]]/Rådatakommune[[#This Row],[B06-O]]-1</f>
        <v>0.12114491358747959</v>
      </c>
      <c r="R26" s="24">
        <f>Rådatakommune[[#This Row],[Kvinner20-39-O]]/Rådatakommune[[#This Row],[B16-O]]</f>
        <v>0.10585249328157659</v>
      </c>
      <c r="S26" s="24">
        <f>Rådatakommune[[#This Row],[Eldre67+-O]]/Rådatakommune[[#This Row],[B16-O]]</f>
        <v>0.14885040310540459</v>
      </c>
      <c r="T26" s="24">
        <f>Rådatakommune[[#This Row],[S15-O]]/Rådatakommune[[#This Row],[S05-O]]-1</f>
        <v>0.12760326774824526</v>
      </c>
      <c r="U26" s="24">
        <f>Rådatakommune[[#This Row],[Y15-O]]/Rådatakommune[[#This Row],[Folk20-64-O]]</f>
        <v>0.88035032266561308</v>
      </c>
    </row>
    <row r="27" spans="1:21" x14ac:dyDescent="0.3">
      <c r="A27" s="2" t="s">
        <v>25</v>
      </c>
      <c r="B27" s="37">
        <v>105928</v>
      </c>
      <c r="C27" s="37">
        <v>122348</v>
      </c>
      <c r="D27" s="37">
        <v>60943</v>
      </c>
      <c r="E27" s="40">
        <v>17101</v>
      </c>
      <c r="F27" s="41">
        <v>14382</v>
      </c>
      <c r="G27">
        <v>70512</v>
      </c>
      <c r="H27" s="46">
        <v>60743</v>
      </c>
      <c r="I27" s="37">
        <v>70924</v>
      </c>
      <c r="J27" s="42">
        <v>188.74</v>
      </c>
      <c r="K27" s="5">
        <v>192.26000000000002</v>
      </c>
      <c r="L27" s="37">
        <v>572300</v>
      </c>
      <c r="M27" s="43">
        <v>11.8</v>
      </c>
      <c r="N27">
        <v>1</v>
      </c>
      <c r="O27" s="36">
        <f>Rådatakommune[[#This Row],[B16-O]]/Rådatakommune[[#This Row],[Landareal2016-O]]</f>
        <v>648.23566811486694</v>
      </c>
      <c r="P27" s="36">
        <f>Rådatakommune[[#This Row],[B16-O]]/Rådatakommune[[#This Row],[Totalareal2016-O]]</f>
        <v>636.3674191199417</v>
      </c>
      <c r="Q27" s="38">
        <f>Rådatakommune[[#This Row],[B16-O]]/Rådatakommune[[#This Row],[B06-O]]-1</f>
        <v>0.1550109508345292</v>
      </c>
      <c r="R27" s="24">
        <f>Rådatakommune[[#This Row],[Kvinner20-39-O]]/Rådatakommune[[#This Row],[B16-O]]</f>
        <v>0.11754993951678817</v>
      </c>
      <c r="S27" s="24">
        <f>Rådatakommune[[#This Row],[Eldre67+-O]]/Rådatakommune[[#This Row],[B16-O]]</f>
        <v>0.13977343315787752</v>
      </c>
      <c r="T27" s="24">
        <f>Rådatakommune[[#This Row],[S15-O]]/Rådatakommune[[#This Row],[S05-O]]-1</f>
        <v>0.1676077901980475</v>
      </c>
      <c r="U27" s="24">
        <f>Rådatakommune[[#This Row],[Y15-O]]/Rådatakommune[[#This Row],[Folk20-64-O]]</f>
        <v>0.86429260267755847</v>
      </c>
    </row>
    <row r="28" spans="1:21" x14ac:dyDescent="0.3">
      <c r="A28" s="2" t="s">
        <v>26</v>
      </c>
      <c r="B28" s="37">
        <v>51484</v>
      </c>
      <c r="C28" s="37">
        <v>60106</v>
      </c>
      <c r="D28" s="37">
        <v>29950</v>
      </c>
      <c r="E28" s="40">
        <v>8115</v>
      </c>
      <c r="F28" s="41">
        <v>6894</v>
      </c>
      <c r="G28">
        <v>34562</v>
      </c>
      <c r="H28" s="46">
        <v>22777</v>
      </c>
      <c r="I28" s="37">
        <v>26604</v>
      </c>
      <c r="J28" s="42">
        <v>96.84</v>
      </c>
      <c r="K28" s="5">
        <v>100.71000000000001</v>
      </c>
      <c r="L28" s="37">
        <v>554700</v>
      </c>
      <c r="M28" s="43">
        <v>17.2</v>
      </c>
      <c r="N28">
        <v>1</v>
      </c>
      <c r="O28" s="36">
        <f>Rådatakommune[[#This Row],[B16-O]]/Rådatakommune[[#This Row],[Landareal2016-O]]</f>
        <v>620.6732755059893</v>
      </c>
      <c r="P28" s="36">
        <f>Rådatakommune[[#This Row],[B16-O]]/Rådatakommune[[#This Row],[Totalareal2016-O]]</f>
        <v>596.82255982524077</v>
      </c>
      <c r="Q28" s="38">
        <f>Rådatakommune[[#This Row],[B16-O]]/Rådatakommune[[#This Row],[B06-O]]-1</f>
        <v>0.16746950508895964</v>
      </c>
      <c r="R28" s="24">
        <f>Rådatakommune[[#This Row],[Kvinner20-39-O]]/Rådatakommune[[#This Row],[B16-O]]</f>
        <v>0.11469736798322963</v>
      </c>
      <c r="S28" s="24">
        <f>Rådatakommune[[#This Row],[Eldre67+-O]]/Rådatakommune[[#This Row],[B16-O]]</f>
        <v>0.1350114797191628</v>
      </c>
      <c r="T28" s="24">
        <f>Rådatakommune[[#This Row],[S15-O]]/Rådatakommune[[#This Row],[S05-O]]-1</f>
        <v>0.16802037142731696</v>
      </c>
      <c r="U28" s="24">
        <f>Rådatakommune[[#This Row],[Y15-O]]/Rådatakommune[[#This Row],[Folk20-64-O]]</f>
        <v>0.86655864822637574</v>
      </c>
    </row>
    <row r="29" spans="1:21" x14ac:dyDescent="0.3">
      <c r="A29" s="2" t="s">
        <v>27</v>
      </c>
      <c r="B29" s="37">
        <v>13379</v>
      </c>
      <c r="C29" s="37">
        <v>15914</v>
      </c>
      <c r="D29" s="37">
        <v>7832</v>
      </c>
      <c r="E29" s="40">
        <v>2551</v>
      </c>
      <c r="F29" s="41">
        <v>1809</v>
      </c>
      <c r="G29">
        <v>9216</v>
      </c>
      <c r="H29" s="46">
        <v>4416</v>
      </c>
      <c r="I29" s="37">
        <v>4884</v>
      </c>
      <c r="J29" s="42">
        <v>893.68</v>
      </c>
      <c r="K29" s="5">
        <v>961.66</v>
      </c>
      <c r="L29" s="37">
        <v>378600</v>
      </c>
      <c r="M29" s="43">
        <v>46.366666666699999</v>
      </c>
      <c r="N29">
        <v>1</v>
      </c>
      <c r="O29" s="36">
        <f>Rådatakommune[[#This Row],[B16-O]]/Rådatakommune[[#This Row],[Landareal2016-O]]</f>
        <v>17.807268821054517</v>
      </c>
      <c r="P29" s="36">
        <f>Rådatakommune[[#This Row],[B16-O]]/Rådatakommune[[#This Row],[Totalareal2016-O]]</f>
        <v>16.548468273610215</v>
      </c>
      <c r="Q29" s="38">
        <f>Rådatakommune[[#This Row],[B16-O]]/Rådatakommune[[#This Row],[B06-O]]-1</f>
        <v>0.18947604454742506</v>
      </c>
      <c r="R29" s="24">
        <f>Rådatakommune[[#This Row],[Kvinner20-39-O]]/Rådatakommune[[#This Row],[B16-O]]</f>
        <v>0.11367349503581752</v>
      </c>
      <c r="S29" s="24">
        <f>Rådatakommune[[#This Row],[Eldre67+-O]]/Rådatakommune[[#This Row],[B16-O]]</f>
        <v>0.16029910770390851</v>
      </c>
      <c r="T29" s="24">
        <f>Rådatakommune[[#This Row],[S15-O]]/Rådatakommune[[#This Row],[S05-O]]-1</f>
        <v>0.10597826086956519</v>
      </c>
      <c r="U29" s="24">
        <f>Rådatakommune[[#This Row],[Y15-O]]/Rådatakommune[[#This Row],[Folk20-64-O]]</f>
        <v>0.84982638888888884</v>
      </c>
    </row>
    <row r="30" spans="1:21" x14ac:dyDescent="0.3">
      <c r="A30" s="2" t="s">
        <v>28</v>
      </c>
      <c r="B30" s="37">
        <v>13367</v>
      </c>
      <c r="C30" s="37">
        <v>17443</v>
      </c>
      <c r="D30" s="37">
        <v>8901</v>
      </c>
      <c r="E30" s="40">
        <v>1980</v>
      </c>
      <c r="F30" s="41">
        <v>2185</v>
      </c>
      <c r="G30">
        <v>10328</v>
      </c>
      <c r="H30" s="46">
        <v>3540</v>
      </c>
      <c r="I30" s="37">
        <v>4965</v>
      </c>
      <c r="J30" s="42">
        <v>199.91</v>
      </c>
      <c r="K30" s="5">
        <v>206.62</v>
      </c>
      <c r="L30" s="37">
        <v>432900</v>
      </c>
      <c r="M30" s="43">
        <v>32.233333333300003</v>
      </c>
      <c r="N30">
        <v>1</v>
      </c>
      <c r="O30" s="36">
        <f>Rådatakommune[[#This Row],[B16-O]]/Rådatakommune[[#This Row],[Landareal2016-O]]</f>
        <v>87.254264418988541</v>
      </c>
      <c r="P30" s="36">
        <f>Rådatakommune[[#This Row],[B16-O]]/Rådatakommune[[#This Row],[Totalareal2016-O]]</f>
        <v>84.420675636434027</v>
      </c>
      <c r="Q30" s="38">
        <f>Rådatakommune[[#This Row],[B16-O]]/Rådatakommune[[#This Row],[B06-O]]-1</f>
        <v>0.30493005161966025</v>
      </c>
      <c r="R30" s="24">
        <f>Rådatakommune[[#This Row],[Kvinner20-39-O]]/Rådatakommune[[#This Row],[B16-O]]</f>
        <v>0.12526514934357622</v>
      </c>
      <c r="S30" s="24">
        <f>Rådatakommune[[#This Row],[Eldre67+-O]]/Rådatakommune[[#This Row],[B16-O]]</f>
        <v>0.11351258384452216</v>
      </c>
      <c r="T30" s="24">
        <f>Rådatakommune[[#This Row],[S15-O]]/Rådatakommune[[#This Row],[S05-O]]-1</f>
        <v>0.40254237288135597</v>
      </c>
      <c r="U30" s="24">
        <f>Rådatakommune[[#This Row],[Y15-O]]/Rådatakommune[[#This Row],[Folk20-64-O]]</f>
        <v>0.86183191324554609</v>
      </c>
    </row>
    <row r="31" spans="1:21" x14ac:dyDescent="0.3">
      <c r="A31" s="2" t="s">
        <v>29</v>
      </c>
      <c r="B31" s="37">
        <v>9734</v>
      </c>
      <c r="C31" s="37">
        <v>11374</v>
      </c>
      <c r="D31" s="37">
        <v>5876</v>
      </c>
      <c r="E31" s="40">
        <v>1506</v>
      </c>
      <c r="F31" s="41">
        <v>1304</v>
      </c>
      <c r="G31">
        <v>6733</v>
      </c>
      <c r="H31" s="46">
        <v>2215</v>
      </c>
      <c r="I31" s="37">
        <v>2729</v>
      </c>
      <c r="J31" s="42">
        <v>137.55000000000001</v>
      </c>
      <c r="K31" s="5">
        <v>176.36</v>
      </c>
      <c r="L31" s="37">
        <v>435300</v>
      </c>
      <c r="M31" s="43">
        <v>23.316666666700002</v>
      </c>
      <c r="N31">
        <v>1</v>
      </c>
      <c r="O31" s="36">
        <f>Rådatakommune[[#This Row],[B16-O]]/Rådatakommune[[#This Row],[Landareal2016-O]]</f>
        <v>82.689930934205734</v>
      </c>
      <c r="P31" s="36">
        <f>Rådatakommune[[#This Row],[B16-O]]/Rådatakommune[[#This Row],[Totalareal2016-O]]</f>
        <v>64.493082331594465</v>
      </c>
      <c r="Q31" s="38">
        <f>Rådatakommune[[#This Row],[B16-O]]/Rådatakommune[[#This Row],[B06-O]]-1</f>
        <v>0.16848161084857205</v>
      </c>
      <c r="R31" s="24">
        <f>Rådatakommune[[#This Row],[Kvinner20-39-O]]/Rådatakommune[[#This Row],[B16-O]]</f>
        <v>0.11464744153332161</v>
      </c>
      <c r="S31" s="24">
        <f>Rådatakommune[[#This Row],[Eldre67+-O]]/Rådatakommune[[#This Row],[B16-O]]</f>
        <v>0.13240724459293124</v>
      </c>
      <c r="T31" s="24">
        <f>Rådatakommune[[#This Row],[S15-O]]/Rådatakommune[[#This Row],[S05-O]]-1</f>
        <v>0.23205417607223477</v>
      </c>
      <c r="U31" s="24">
        <f>Rådatakommune[[#This Row],[Y15-O]]/Rådatakommune[[#This Row],[Folk20-64-O]]</f>
        <v>0.87271647111243134</v>
      </c>
    </row>
    <row r="32" spans="1:21" x14ac:dyDescent="0.3">
      <c r="A32" s="2" t="s">
        <v>30</v>
      </c>
      <c r="B32" s="37">
        <v>14857</v>
      </c>
      <c r="C32" s="37">
        <v>17426</v>
      </c>
      <c r="D32" s="37">
        <v>9137</v>
      </c>
      <c r="E32" s="40">
        <v>2019</v>
      </c>
      <c r="F32" s="41">
        <v>2298</v>
      </c>
      <c r="G32">
        <v>10564</v>
      </c>
      <c r="H32" s="46">
        <v>2430</v>
      </c>
      <c r="I32" s="37">
        <v>2937</v>
      </c>
      <c r="J32" s="42">
        <v>56.39</v>
      </c>
      <c r="K32" s="5">
        <v>71.680000000000007</v>
      </c>
      <c r="L32" s="37">
        <v>436200</v>
      </c>
      <c r="M32" s="43">
        <v>18.383333333300001</v>
      </c>
      <c r="N32">
        <v>1</v>
      </c>
      <c r="O32" s="36">
        <f>Rådatakommune[[#This Row],[B16-O]]/Rådatakommune[[#This Row],[Landareal2016-O]]</f>
        <v>309.02642312466747</v>
      </c>
      <c r="P32" s="36">
        <f>Rådatakommune[[#This Row],[B16-O]]/Rådatakommune[[#This Row],[Totalareal2016-O]]</f>
        <v>243.10825892857142</v>
      </c>
      <c r="Q32" s="38">
        <f>Rådatakommune[[#This Row],[B16-O]]/Rådatakommune[[#This Row],[B06-O]]-1</f>
        <v>0.17291512418388644</v>
      </c>
      <c r="R32" s="24">
        <f>Rådatakommune[[#This Row],[Kvinner20-39-O]]/Rådatakommune[[#This Row],[B16-O]]</f>
        <v>0.13187191552852059</v>
      </c>
      <c r="S32" s="24">
        <f>Rådatakommune[[#This Row],[Eldre67+-O]]/Rådatakommune[[#This Row],[B16-O]]</f>
        <v>0.11586135659359578</v>
      </c>
      <c r="T32" s="24">
        <f>Rådatakommune[[#This Row],[S15-O]]/Rådatakommune[[#This Row],[S05-O]]-1</f>
        <v>0.20864197530864192</v>
      </c>
      <c r="U32" s="24">
        <f>Rådatakommune[[#This Row],[Y15-O]]/Rådatakommune[[#This Row],[Folk20-64-O]]</f>
        <v>0.86491859144263539</v>
      </c>
    </row>
    <row r="33" spans="1:21" x14ac:dyDescent="0.3">
      <c r="A33" s="2" t="s">
        <v>31</v>
      </c>
      <c r="B33" s="37">
        <v>9442</v>
      </c>
      <c r="C33" s="37">
        <v>10870</v>
      </c>
      <c r="D33" s="37">
        <v>5507</v>
      </c>
      <c r="E33" s="40">
        <v>1272</v>
      </c>
      <c r="F33" s="41">
        <v>1306</v>
      </c>
      <c r="G33">
        <v>6428</v>
      </c>
      <c r="H33" s="46">
        <v>2242</v>
      </c>
      <c r="I33" s="37">
        <v>2858</v>
      </c>
      <c r="J33" s="42">
        <v>195.45</v>
      </c>
      <c r="K33" s="5">
        <v>232.57999999999998</v>
      </c>
      <c r="L33" s="37">
        <v>419000</v>
      </c>
      <c r="M33" s="43">
        <v>34.9</v>
      </c>
      <c r="N33">
        <v>1</v>
      </c>
      <c r="O33" s="36">
        <f>Rådatakommune[[#This Row],[B16-O]]/Rådatakommune[[#This Row],[Landareal2016-O]]</f>
        <v>55.615246866206192</v>
      </c>
      <c r="P33" s="36">
        <f>Rådatakommune[[#This Row],[B16-O]]/Rådatakommune[[#This Row],[Totalareal2016-O]]</f>
        <v>46.736606758964662</v>
      </c>
      <c r="Q33" s="38">
        <f>Rådatakommune[[#This Row],[B16-O]]/Rådatakommune[[#This Row],[B06-O]]-1</f>
        <v>0.15123914424909968</v>
      </c>
      <c r="R33" s="24">
        <f>Rådatakommune[[#This Row],[Kvinner20-39-O]]/Rådatakommune[[#This Row],[B16-O]]</f>
        <v>0.12014719411223551</v>
      </c>
      <c r="S33" s="24">
        <f>Rådatakommune[[#This Row],[Eldre67+-O]]/Rådatakommune[[#This Row],[B16-O]]</f>
        <v>0.11701931922723091</v>
      </c>
      <c r="T33" s="24">
        <f>Rådatakommune[[#This Row],[S15-O]]/Rådatakommune[[#This Row],[S05-O]]-1</f>
        <v>0.27475468331846575</v>
      </c>
      <c r="U33" s="24">
        <f>Rådatakommune[[#This Row],[Y15-O]]/Rådatakommune[[#This Row],[Folk20-64-O]]</f>
        <v>0.85672059738643436</v>
      </c>
    </row>
    <row r="34" spans="1:21" x14ac:dyDescent="0.3">
      <c r="A34" s="2" t="s">
        <v>32</v>
      </c>
      <c r="B34" s="37">
        <v>30929</v>
      </c>
      <c r="C34" s="37">
        <v>36368</v>
      </c>
      <c r="D34" s="37">
        <v>18328</v>
      </c>
      <c r="E34" s="40">
        <v>4780</v>
      </c>
      <c r="F34" s="41">
        <v>4426</v>
      </c>
      <c r="G34">
        <v>21642</v>
      </c>
      <c r="H34" s="46">
        <v>15368</v>
      </c>
      <c r="I34" s="37">
        <v>19902</v>
      </c>
      <c r="J34" s="42">
        <v>67.27</v>
      </c>
      <c r="K34" s="5">
        <v>70.55</v>
      </c>
      <c r="L34" s="37">
        <v>450100</v>
      </c>
      <c r="M34" s="43">
        <v>11.7</v>
      </c>
      <c r="N34">
        <v>1</v>
      </c>
      <c r="O34" s="36">
        <f>Rådatakommune[[#This Row],[B16-O]]/Rådatakommune[[#This Row],[Landareal2016-O]]</f>
        <v>540.62732272929986</v>
      </c>
      <c r="P34" s="36">
        <f>Rådatakommune[[#This Row],[B16-O]]/Rådatakommune[[#This Row],[Totalareal2016-O]]</f>
        <v>515.49255846917083</v>
      </c>
      <c r="Q34" s="38">
        <f>Rådatakommune[[#This Row],[B16-O]]/Rådatakommune[[#This Row],[B06-O]]-1</f>
        <v>0.17585437615183164</v>
      </c>
      <c r="R34" s="24">
        <f>Rådatakommune[[#This Row],[Kvinner20-39-O]]/Rådatakommune[[#This Row],[B16-O]]</f>
        <v>0.1217003959524857</v>
      </c>
      <c r="S34" s="24">
        <f>Rådatakommune[[#This Row],[Eldre67+-O]]/Rådatakommune[[#This Row],[B16-O]]</f>
        <v>0.13143422789265288</v>
      </c>
      <c r="T34" s="24">
        <f>Rådatakommune[[#This Row],[S15-O]]/Rådatakommune[[#This Row],[S05-O]]-1</f>
        <v>0.2950286309213952</v>
      </c>
      <c r="U34" s="24">
        <f>Rådatakommune[[#This Row],[Y15-O]]/Rådatakommune[[#This Row],[Folk20-64-O]]</f>
        <v>0.84687182330653354</v>
      </c>
    </row>
    <row r="35" spans="1:21" x14ac:dyDescent="0.3">
      <c r="A35" s="2" t="s">
        <v>33</v>
      </c>
      <c r="B35" s="37">
        <v>43201</v>
      </c>
      <c r="C35" s="37">
        <v>52522</v>
      </c>
      <c r="D35" s="37">
        <v>26270</v>
      </c>
      <c r="E35" s="40">
        <v>7042</v>
      </c>
      <c r="F35" s="41">
        <v>6639</v>
      </c>
      <c r="G35">
        <v>31257</v>
      </c>
      <c r="H35" s="46">
        <v>23895</v>
      </c>
      <c r="I35" s="37">
        <v>28850</v>
      </c>
      <c r="J35" s="42">
        <v>75.03</v>
      </c>
      <c r="K35" s="5">
        <v>77.040000000000006</v>
      </c>
      <c r="L35" s="37">
        <v>436900</v>
      </c>
      <c r="M35" s="43">
        <v>16.133333333300001</v>
      </c>
      <c r="N35">
        <v>1</v>
      </c>
      <c r="O35" s="36">
        <f>Rådatakommune[[#This Row],[B16-O]]/Rådatakommune[[#This Row],[Landareal2016-O]]</f>
        <v>700.01332800213243</v>
      </c>
      <c r="P35" s="36">
        <f>Rådatakommune[[#This Row],[B16-O]]/Rådatakommune[[#This Row],[Totalareal2016-O]]</f>
        <v>681.74974039460017</v>
      </c>
      <c r="Q35" s="38">
        <f>Rådatakommune[[#This Row],[B16-O]]/Rådatakommune[[#This Row],[B06-O]]-1</f>
        <v>0.21575889447003549</v>
      </c>
      <c r="R35" s="24">
        <f>Rådatakommune[[#This Row],[Kvinner20-39-O]]/Rådatakommune[[#This Row],[B16-O]]</f>
        <v>0.12640417348920452</v>
      </c>
      <c r="S35" s="24">
        <f>Rådatakommune[[#This Row],[Eldre67+-O]]/Rådatakommune[[#This Row],[B16-O]]</f>
        <v>0.13407714862343398</v>
      </c>
      <c r="T35" s="24">
        <f>Rådatakommune[[#This Row],[S15-O]]/Rådatakommune[[#This Row],[S05-O]]-1</f>
        <v>0.20736555764804354</v>
      </c>
      <c r="U35" s="24">
        <f>Rådatakommune[[#This Row],[Y15-O]]/Rådatakommune[[#This Row],[Folk20-64-O]]</f>
        <v>0.8404517388105065</v>
      </c>
    </row>
    <row r="36" spans="1:21" x14ac:dyDescent="0.3">
      <c r="A36" s="2" t="s">
        <v>34</v>
      </c>
      <c r="B36" s="37">
        <v>19722</v>
      </c>
      <c r="C36" s="37">
        <v>22857</v>
      </c>
      <c r="D36" s="37">
        <v>11765</v>
      </c>
      <c r="E36" s="40">
        <v>2783</v>
      </c>
      <c r="F36" s="41">
        <v>2570</v>
      </c>
      <c r="G36">
        <v>13330</v>
      </c>
      <c r="H36" s="46">
        <v>7020</v>
      </c>
      <c r="I36" s="37">
        <v>8103</v>
      </c>
      <c r="J36" s="42">
        <v>179.42</v>
      </c>
      <c r="K36" s="5">
        <v>186.22</v>
      </c>
      <c r="L36" s="37">
        <v>462400</v>
      </c>
      <c r="M36" s="43">
        <v>24.833333333300001</v>
      </c>
      <c r="N36">
        <v>1</v>
      </c>
      <c r="O36" s="36">
        <f>Rådatakommune[[#This Row],[B16-O]]/Rådatakommune[[#This Row],[Landareal2016-O]]</f>
        <v>127.39382454575856</v>
      </c>
      <c r="P36" s="36">
        <f>Rådatakommune[[#This Row],[B16-O]]/Rådatakommune[[#This Row],[Totalareal2016-O]]</f>
        <v>122.74191816131457</v>
      </c>
      <c r="Q36" s="38">
        <f>Rådatakommune[[#This Row],[B16-O]]/Rådatakommune[[#This Row],[B06-O]]-1</f>
        <v>0.15895953757225434</v>
      </c>
      <c r="R36" s="24">
        <f>Rådatakommune[[#This Row],[Kvinner20-39-O]]/Rådatakommune[[#This Row],[B16-O]]</f>
        <v>0.11243820273876712</v>
      </c>
      <c r="S36" s="24">
        <f>Rådatakommune[[#This Row],[Eldre67+-O]]/Rådatakommune[[#This Row],[B16-O]]</f>
        <v>0.12175701098131864</v>
      </c>
      <c r="T36" s="24">
        <f>Rådatakommune[[#This Row],[S15-O]]/Rådatakommune[[#This Row],[S05-O]]-1</f>
        <v>0.15427350427350417</v>
      </c>
      <c r="U36" s="24">
        <f>Rådatakommune[[#This Row],[Y15-O]]/Rådatakommune[[#This Row],[Folk20-64-O]]</f>
        <v>0.88259564891222808</v>
      </c>
    </row>
    <row r="37" spans="1:21" x14ac:dyDescent="0.3">
      <c r="A37" s="2" t="s">
        <v>35</v>
      </c>
      <c r="B37" s="37">
        <v>5214</v>
      </c>
      <c r="C37" s="37">
        <v>6323</v>
      </c>
      <c r="D37" s="37">
        <v>3377</v>
      </c>
      <c r="E37" s="40">
        <v>790</v>
      </c>
      <c r="F37" s="41">
        <v>650</v>
      </c>
      <c r="G37">
        <v>3692</v>
      </c>
      <c r="H37" s="46">
        <v>1271</v>
      </c>
      <c r="I37" s="37">
        <v>1543</v>
      </c>
      <c r="J37" s="42">
        <v>82.17</v>
      </c>
      <c r="K37" s="5">
        <v>83.19</v>
      </c>
      <c r="L37" s="37">
        <v>467100</v>
      </c>
      <c r="M37" s="43">
        <v>23.8</v>
      </c>
      <c r="N37">
        <v>1</v>
      </c>
      <c r="O37" s="36">
        <f>Rådatakommune[[#This Row],[B16-O]]/Rådatakommune[[#This Row],[Landareal2016-O]]</f>
        <v>76.950225142996231</v>
      </c>
      <c r="P37" s="36">
        <f>Rådatakommune[[#This Row],[B16-O]]/Rådatakommune[[#This Row],[Totalareal2016-O]]</f>
        <v>76.0067315783147</v>
      </c>
      <c r="Q37" s="38">
        <f>Rådatakommune[[#This Row],[B16-O]]/Rådatakommune[[#This Row],[B06-O]]-1</f>
        <v>0.21269658611430753</v>
      </c>
      <c r="R37" s="24">
        <f>Rådatakommune[[#This Row],[Kvinner20-39-O]]/Rådatakommune[[#This Row],[B16-O]]</f>
        <v>0.10279930412778744</v>
      </c>
      <c r="S37" s="24">
        <f>Rådatakommune[[#This Row],[Eldre67+-O]]/Rådatakommune[[#This Row],[B16-O]]</f>
        <v>0.12494069270915704</v>
      </c>
      <c r="T37" s="24">
        <f>Rådatakommune[[#This Row],[S15-O]]/Rådatakommune[[#This Row],[S05-O]]-1</f>
        <v>0.21400472069236831</v>
      </c>
      <c r="U37" s="24">
        <f>Rådatakommune[[#This Row],[Y15-O]]/Rådatakommune[[#This Row],[Folk20-64-O]]</f>
        <v>0.91468039003250268</v>
      </c>
    </row>
    <row r="38" spans="1:21" x14ac:dyDescent="0.3">
      <c r="A38" s="2" t="s">
        <v>36</v>
      </c>
      <c r="B38" s="37">
        <v>25269</v>
      </c>
      <c r="C38" s="37">
        <v>34189</v>
      </c>
      <c r="D38" s="37">
        <v>17329</v>
      </c>
      <c r="E38" s="40">
        <v>3928</v>
      </c>
      <c r="F38" s="41">
        <v>4507</v>
      </c>
      <c r="G38">
        <v>20412</v>
      </c>
      <c r="H38" s="46">
        <v>19684</v>
      </c>
      <c r="I38" s="37">
        <v>24096</v>
      </c>
      <c r="J38" s="42">
        <v>250.35</v>
      </c>
      <c r="K38" s="5">
        <v>252.47</v>
      </c>
      <c r="L38" s="37">
        <v>424400</v>
      </c>
      <c r="M38" s="43">
        <v>27.9666666667</v>
      </c>
      <c r="N38">
        <v>1</v>
      </c>
      <c r="O38" s="36">
        <f>Rådatakommune[[#This Row],[B16-O]]/Rådatakommune[[#This Row],[Landareal2016-O]]</f>
        <v>136.56480926702616</v>
      </c>
      <c r="P38" s="36">
        <f>Rådatakommune[[#This Row],[B16-O]]/Rådatakommune[[#This Row],[Totalareal2016-O]]</f>
        <v>135.41806947360084</v>
      </c>
      <c r="Q38" s="38">
        <f>Rådatakommune[[#This Row],[B16-O]]/Rådatakommune[[#This Row],[B06-O]]-1</f>
        <v>0.35300170168981748</v>
      </c>
      <c r="R38" s="24">
        <f>Rådatakommune[[#This Row],[Kvinner20-39-O]]/Rådatakommune[[#This Row],[B16-O]]</f>
        <v>0.13182602591476791</v>
      </c>
      <c r="S38" s="24">
        <f>Rådatakommune[[#This Row],[Eldre67+-O]]/Rådatakommune[[#This Row],[B16-O]]</f>
        <v>0.11489075433619</v>
      </c>
      <c r="T38" s="24">
        <f>Rådatakommune[[#This Row],[S15-O]]/Rådatakommune[[#This Row],[S05-O]]-1</f>
        <v>0.22414143466775038</v>
      </c>
      <c r="U38" s="24">
        <f>Rådatakommune[[#This Row],[Y15-O]]/Rådatakommune[[#This Row],[Folk20-64-O]]</f>
        <v>0.84896139525769154</v>
      </c>
    </row>
    <row r="39" spans="1:21" x14ac:dyDescent="0.3">
      <c r="A39" s="2" t="s">
        <v>37</v>
      </c>
      <c r="B39" s="37">
        <v>18022</v>
      </c>
      <c r="C39" s="37">
        <v>20783</v>
      </c>
      <c r="D39" s="37">
        <v>10535</v>
      </c>
      <c r="E39" s="40">
        <v>2829</v>
      </c>
      <c r="F39" s="41">
        <v>2448</v>
      </c>
      <c r="G39">
        <v>12434</v>
      </c>
      <c r="H39" s="46">
        <v>4969</v>
      </c>
      <c r="I39" s="37">
        <v>5640</v>
      </c>
      <c r="J39" s="42">
        <v>608.94000000000005</v>
      </c>
      <c r="K39" s="5">
        <v>637.35</v>
      </c>
      <c r="L39" s="37">
        <v>392700</v>
      </c>
      <c r="M39" s="43">
        <v>38.733333333300003</v>
      </c>
      <c r="N39">
        <v>1</v>
      </c>
      <c r="O39" s="36">
        <f>Rådatakommune[[#This Row],[B16-O]]/Rådatakommune[[#This Row],[Landareal2016-O]]</f>
        <v>34.129799323414453</v>
      </c>
      <c r="P39" s="36">
        <f>Rådatakommune[[#This Row],[B16-O]]/Rådatakommune[[#This Row],[Totalareal2016-O]]</f>
        <v>32.608456891817681</v>
      </c>
      <c r="Q39" s="38">
        <f>Rådatakommune[[#This Row],[B16-O]]/Rådatakommune[[#This Row],[B06-O]]-1</f>
        <v>0.1532016424370215</v>
      </c>
      <c r="R39" s="24">
        <f>Rådatakommune[[#This Row],[Kvinner20-39-O]]/Rådatakommune[[#This Row],[B16-O]]</f>
        <v>0.1177885772025213</v>
      </c>
      <c r="S39" s="24">
        <f>Rådatakommune[[#This Row],[Eldre67+-O]]/Rådatakommune[[#This Row],[B16-O]]</f>
        <v>0.13612086801712939</v>
      </c>
      <c r="T39" s="24">
        <f>Rådatakommune[[#This Row],[S15-O]]/Rådatakommune[[#This Row],[S05-O]]-1</f>
        <v>0.13503723083115315</v>
      </c>
      <c r="U39" s="24">
        <f>Rådatakommune[[#This Row],[Y15-O]]/Rådatakommune[[#This Row],[Folk20-64-O]]</f>
        <v>0.84727360463245938</v>
      </c>
    </row>
    <row r="40" spans="1:21" x14ac:dyDescent="0.3">
      <c r="A40" s="2" t="s">
        <v>38</v>
      </c>
      <c r="B40" s="37">
        <v>18923</v>
      </c>
      <c r="C40" s="37">
        <v>23811</v>
      </c>
      <c r="D40" s="37">
        <v>11665</v>
      </c>
      <c r="E40" s="40">
        <v>3132</v>
      </c>
      <c r="F40" s="41">
        <v>3028</v>
      </c>
      <c r="G40">
        <v>14139</v>
      </c>
      <c r="H40" s="46">
        <v>6093</v>
      </c>
      <c r="I40" s="37">
        <v>6604</v>
      </c>
      <c r="J40" s="42">
        <v>385.51</v>
      </c>
      <c r="K40" s="5">
        <v>456.49</v>
      </c>
      <c r="L40" s="37">
        <v>393500</v>
      </c>
      <c r="M40" s="43">
        <v>47.133333333300001</v>
      </c>
      <c r="N40">
        <v>1</v>
      </c>
      <c r="O40" s="36">
        <f>Rådatakommune[[#This Row],[B16-O]]/Rådatakommune[[#This Row],[Landareal2016-O]]</f>
        <v>61.764934761744186</v>
      </c>
      <c r="P40" s="36">
        <f>Rådatakommune[[#This Row],[B16-O]]/Rådatakommune[[#This Row],[Totalareal2016-O]]</f>
        <v>52.161055006681416</v>
      </c>
      <c r="Q40" s="38">
        <f>Rådatakommune[[#This Row],[B16-O]]/Rådatakommune[[#This Row],[B06-O]]-1</f>
        <v>0.25830999313005343</v>
      </c>
      <c r="R40" s="24">
        <f>Rådatakommune[[#This Row],[Kvinner20-39-O]]/Rådatakommune[[#This Row],[B16-O]]</f>
        <v>0.12716811557683425</v>
      </c>
      <c r="S40" s="24">
        <f>Rådatakommune[[#This Row],[Eldre67+-O]]/Rådatakommune[[#This Row],[B16-O]]</f>
        <v>0.13153584477762378</v>
      </c>
      <c r="T40" s="24">
        <f>Rådatakommune[[#This Row],[S15-O]]/Rådatakommune[[#This Row],[S05-O]]-1</f>
        <v>8.3866732315772241E-2</v>
      </c>
      <c r="U40" s="24">
        <f>Rådatakommune[[#This Row],[Y15-O]]/Rådatakommune[[#This Row],[Folk20-64-O]]</f>
        <v>0.82502298606690716</v>
      </c>
    </row>
    <row r="41" spans="1:21" x14ac:dyDescent="0.3">
      <c r="A41" s="2" t="s">
        <v>39</v>
      </c>
      <c r="B41" s="37">
        <v>10321</v>
      </c>
      <c r="C41" s="37">
        <v>12267</v>
      </c>
      <c r="D41" s="37">
        <v>6294</v>
      </c>
      <c r="E41" s="40">
        <v>1440</v>
      </c>
      <c r="F41" s="41">
        <v>1506</v>
      </c>
      <c r="G41">
        <v>7398</v>
      </c>
      <c r="H41" s="46">
        <v>2280</v>
      </c>
      <c r="I41" s="37">
        <v>2797</v>
      </c>
      <c r="J41" s="42">
        <v>324.3</v>
      </c>
      <c r="K41" s="5">
        <v>340.98</v>
      </c>
      <c r="L41" s="37">
        <v>404500</v>
      </c>
      <c r="M41" s="43">
        <v>40.200000000000003</v>
      </c>
      <c r="N41">
        <v>1</v>
      </c>
      <c r="O41" s="36">
        <f>Rådatakommune[[#This Row],[B16-O]]/Rådatakommune[[#This Row],[Landareal2016-O]]</f>
        <v>37.826086956521735</v>
      </c>
      <c r="P41" s="36">
        <f>Rådatakommune[[#This Row],[B16-O]]/Rådatakommune[[#This Row],[Totalareal2016-O]]</f>
        <v>35.975717050853419</v>
      </c>
      <c r="Q41" s="38">
        <f>Rådatakommune[[#This Row],[B16-O]]/Rådatakommune[[#This Row],[B06-O]]-1</f>
        <v>0.18854762135451986</v>
      </c>
      <c r="R41" s="24">
        <f>Rådatakommune[[#This Row],[Kvinner20-39-O]]/Rådatakommune[[#This Row],[B16-O]]</f>
        <v>0.12276840303252629</v>
      </c>
      <c r="S41" s="24">
        <f>Rådatakommune[[#This Row],[Eldre67+-O]]/Rådatakommune[[#This Row],[B16-O]]</f>
        <v>0.11738811445341159</v>
      </c>
      <c r="T41" s="24">
        <f>Rådatakommune[[#This Row],[S15-O]]/Rådatakommune[[#This Row],[S05-O]]-1</f>
        <v>0.22675438596491237</v>
      </c>
      <c r="U41" s="24">
        <f>Rådatakommune[[#This Row],[Y15-O]]/Rådatakommune[[#This Row],[Folk20-64-O]]</f>
        <v>0.85077047850770482</v>
      </c>
    </row>
    <row r="42" spans="1:21" x14ac:dyDescent="0.3">
      <c r="A42" s="2" t="s">
        <v>40</v>
      </c>
      <c r="B42" s="37">
        <v>2611</v>
      </c>
      <c r="C42" s="37">
        <v>2837</v>
      </c>
      <c r="D42" s="37">
        <v>1344</v>
      </c>
      <c r="E42" s="40">
        <v>484</v>
      </c>
      <c r="F42" s="41">
        <v>299</v>
      </c>
      <c r="G42">
        <v>1601</v>
      </c>
      <c r="H42" s="46">
        <v>881</v>
      </c>
      <c r="I42" s="37">
        <v>834</v>
      </c>
      <c r="J42" s="42">
        <v>260.97000000000003</v>
      </c>
      <c r="K42" s="5">
        <v>284.96000000000004</v>
      </c>
      <c r="L42" s="37">
        <v>357100</v>
      </c>
      <c r="M42" s="43">
        <v>53.133333333300001</v>
      </c>
      <c r="N42">
        <v>1</v>
      </c>
      <c r="O42" s="36">
        <f>Rådatakommune[[#This Row],[B16-O]]/Rådatakommune[[#This Row],[Landareal2016-O]]</f>
        <v>10.870981338851207</v>
      </c>
      <c r="P42" s="36">
        <f>Rådatakommune[[#This Row],[B16-O]]/Rådatakommune[[#This Row],[Totalareal2016-O]]</f>
        <v>9.9557832678270621</v>
      </c>
      <c r="Q42" s="38">
        <f>Rådatakommune[[#This Row],[B16-O]]/Rådatakommune[[#This Row],[B06-O]]-1</f>
        <v>8.6556874760628011E-2</v>
      </c>
      <c r="R42" s="24">
        <f>Rådatakommune[[#This Row],[Kvinner20-39-O]]/Rådatakommune[[#This Row],[B16-O]]</f>
        <v>0.10539302079661614</v>
      </c>
      <c r="S42" s="24">
        <f>Rådatakommune[[#This Row],[Eldre67+-O]]/Rådatakommune[[#This Row],[B16-O]]</f>
        <v>0.1706027493831512</v>
      </c>
      <c r="T42" s="24">
        <f>Rådatakommune[[#This Row],[S15-O]]/Rådatakommune[[#This Row],[S05-O]]-1</f>
        <v>-5.3348467650397247E-2</v>
      </c>
      <c r="U42" s="24">
        <f>Rådatakommune[[#This Row],[Y15-O]]/Rådatakommune[[#This Row],[Folk20-64-O]]</f>
        <v>0.83947532792004997</v>
      </c>
    </row>
    <row r="43" spans="1:21" x14ac:dyDescent="0.3">
      <c r="A43" s="2" t="s">
        <v>41</v>
      </c>
      <c r="B43" s="37">
        <v>538411</v>
      </c>
      <c r="C43" s="37">
        <v>658390</v>
      </c>
      <c r="D43" s="37">
        <v>346578</v>
      </c>
      <c r="E43" s="40">
        <v>69837</v>
      </c>
      <c r="F43" s="41">
        <v>121274</v>
      </c>
      <c r="G43">
        <v>435974</v>
      </c>
      <c r="H43" s="46">
        <v>392661</v>
      </c>
      <c r="I43" s="37">
        <v>451379</v>
      </c>
      <c r="J43" s="42">
        <v>426.38</v>
      </c>
      <c r="K43" s="5">
        <v>454.09</v>
      </c>
      <c r="L43" s="37">
        <v>470200</v>
      </c>
      <c r="M43" s="43">
        <v>1.3</v>
      </c>
      <c r="N43">
        <v>1</v>
      </c>
      <c r="O43" s="36">
        <f>Rådatakommune[[#This Row],[B16-O]]/Rådatakommune[[#This Row],[Landareal2016-O]]</f>
        <v>1544.1390309113935</v>
      </c>
      <c r="P43" s="36">
        <f>Rådatakommune[[#This Row],[B16-O]]/Rådatakommune[[#This Row],[Totalareal2016-O]]</f>
        <v>1449.9108106322535</v>
      </c>
      <c r="Q43" s="38">
        <f>Rådatakommune[[#This Row],[B16-O]]/Rådatakommune[[#This Row],[B06-O]]-1</f>
        <v>0.2228390578944337</v>
      </c>
      <c r="R43" s="24">
        <f>Rådatakommune[[#This Row],[Kvinner20-39-O]]/Rådatakommune[[#This Row],[B16-O]]</f>
        <v>0.18419781588420236</v>
      </c>
      <c r="S43" s="24">
        <f>Rådatakommune[[#This Row],[Eldre67+-O]]/Rådatakommune[[#This Row],[B16-O]]</f>
        <v>0.10607238870578228</v>
      </c>
      <c r="T43" s="24">
        <f>Rådatakommune[[#This Row],[S15-O]]/Rådatakommune[[#This Row],[S05-O]]-1</f>
        <v>0.14953866057489784</v>
      </c>
      <c r="U43" s="24">
        <f>Rådatakommune[[#This Row],[Y15-O]]/Rådatakommune[[#This Row],[Folk20-64-O]]</f>
        <v>0.79495107506410934</v>
      </c>
    </row>
    <row r="44" spans="1:21" x14ac:dyDescent="0.3">
      <c r="A44" s="2" t="s">
        <v>42</v>
      </c>
      <c r="B44" s="37">
        <v>17224</v>
      </c>
      <c r="C44" s="37">
        <v>17835</v>
      </c>
      <c r="D44" s="37">
        <v>7678</v>
      </c>
      <c r="E44" s="40">
        <v>3401</v>
      </c>
      <c r="F44" s="41">
        <v>1757</v>
      </c>
      <c r="G44">
        <v>10069</v>
      </c>
      <c r="H44" s="46">
        <v>8262</v>
      </c>
      <c r="I44" s="37">
        <v>8222</v>
      </c>
      <c r="J44" s="42">
        <v>952.8</v>
      </c>
      <c r="K44" s="5">
        <v>1036.45</v>
      </c>
      <c r="L44" s="37">
        <v>358500</v>
      </c>
      <c r="M44" s="43">
        <v>69.666666666699996</v>
      </c>
      <c r="N44">
        <v>5</v>
      </c>
      <c r="O44" s="36">
        <f>Rådatakommune[[#This Row],[B16-O]]/Rådatakommune[[#This Row],[Landareal2016-O]]</f>
        <v>18.718513853904284</v>
      </c>
      <c r="P44" s="36">
        <f>Rådatakommune[[#This Row],[B16-O]]/Rådatakommune[[#This Row],[Totalareal2016-O]]</f>
        <v>17.207776544937044</v>
      </c>
      <c r="Q44" s="38">
        <f>Rådatakommune[[#This Row],[B16-O]]/Rådatakommune[[#This Row],[B06-O]]-1</f>
        <v>3.5473757547608065E-2</v>
      </c>
      <c r="R44" s="24">
        <f>Rådatakommune[[#This Row],[Kvinner20-39-O]]/Rådatakommune[[#This Row],[B16-O]]</f>
        <v>9.8514157555368659E-2</v>
      </c>
      <c r="S44" s="24">
        <f>Rådatakommune[[#This Row],[Eldre67+-O]]/Rådatakommune[[#This Row],[B16-O]]</f>
        <v>0.19069245864872442</v>
      </c>
      <c r="T44" s="24">
        <f>Rådatakommune[[#This Row],[S15-O]]/Rådatakommune[[#This Row],[S05-O]]-1</f>
        <v>-4.841442749939473E-3</v>
      </c>
      <c r="U44" s="24">
        <f>Rådatakommune[[#This Row],[Y15-O]]/Rådatakommune[[#This Row],[Folk20-64-O]]</f>
        <v>0.76253848445724504</v>
      </c>
    </row>
    <row r="45" spans="1:21" x14ac:dyDescent="0.3">
      <c r="A45" s="2" t="s">
        <v>43</v>
      </c>
      <c r="B45" s="37">
        <v>27593</v>
      </c>
      <c r="C45" s="37">
        <v>30120</v>
      </c>
      <c r="D45" s="37">
        <v>14590</v>
      </c>
      <c r="E45" s="40">
        <v>5532</v>
      </c>
      <c r="F45" s="41">
        <v>3537</v>
      </c>
      <c r="G45">
        <v>17279</v>
      </c>
      <c r="H45" s="46">
        <v>17069</v>
      </c>
      <c r="I45" s="37">
        <v>19491</v>
      </c>
      <c r="J45" s="42">
        <v>337.61</v>
      </c>
      <c r="K45" s="5">
        <v>350.94</v>
      </c>
      <c r="L45" s="37">
        <v>400700</v>
      </c>
      <c r="M45" s="43">
        <v>83.916666666699996</v>
      </c>
      <c r="N45">
        <v>4</v>
      </c>
      <c r="O45" s="36">
        <f>Rådatakommune[[#This Row],[B16-O]]/Rådatakommune[[#This Row],[Landareal2016-O]]</f>
        <v>89.215366843399181</v>
      </c>
      <c r="P45" s="36">
        <f>Rådatakommune[[#This Row],[B16-O]]/Rådatakommune[[#This Row],[Totalareal2016-O]]</f>
        <v>85.826637031971273</v>
      </c>
      <c r="Q45" s="38">
        <f>Rådatakommune[[#This Row],[B16-O]]/Rådatakommune[[#This Row],[B06-O]]-1</f>
        <v>9.1581198129960573E-2</v>
      </c>
      <c r="R45" s="24">
        <f>Rådatakommune[[#This Row],[Kvinner20-39-O]]/Rådatakommune[[#This Row],[B16-O]]</f>
        <v>0.11743027888446216</v>
      </c>
      <c r="S45" s="24">
        <f>Rådatakommune[[#This Row],[Eldre67+-O]]/Rådatakommune[[#This Row],[B16-O]]</f>
        <v>0.18366533864541831</v>
      </c>
      <c r="T45" s="24">
        <f>Rådatakommune[[#This Row],[S15-O]]/Rådatakommune[[#This Row],[S05-O]]-1</f>
        <v>0.14189466283906493</v>
      </c>
      <c r="U45" s="24">
        <f>Rådatakommune[[#This Row],[Y15-O]]/Rådatakommune[[#This Row],[Folk20-64-O]]</f>
        <v>0.84437756814630471</v>
      </c>
    </row>
    <row r="46" spans="1:21" x14ac:dyDescent="0.3">
      <c r="A46" s="2" t="s">
        <v>44</v>
      </c>
      <c r="B46" s="37">
        <v>31923</v>
      </c>
      <c r="C46" s="37">
        <v>33597</v>
      </c>
      <c r="D46" s="37">
        <v>16649</v>
      </c>
      <c r="E46" s="40">
        <v>5618</v>
      </c>
      <c r="F46" s="41">
        <v>3699</v>
      </c>
      <c r="G46">
        <v>19273</v>
      </c>
      <c r="H46" s="46">
        <v>13117</v>
      </c>
      <c r="I46" s="37">
        <v>14453</v>
      </c>
      <c r="J46" s="42">
        <v>1122.55</v>
      </c>
      <c r="K46" s="5">
        <v>1280.0899999999999</v>
      </c>
      <c r="L46" s="37">
        <v>366800</v>
      </c>
      <c r="M46" s="43">
        <v>91.916666666699996</v>
      </c>
      <c r="N46">
        <v>4</v>
      </c>
      <c r="O46" s="36">
        <f>Rådatakommune[[#This Row],[B16-O]]/Rådatakommune[[#This Row],[Landareal2016-O]]</f>
        <v>29.929179101153625</v>
      </c>
      <c r="P46" s="36">
        <f>Rådatakommune[[#This Row],[B16-O]]/Rådatakommune[[#This Row],[Totalareal2016-O]]</f>
        <v>26.245810841425214</v>
      </c>
      <c r="Q46" s="38">
        <f>Rådatakommune[[#This Row],[B16-O]]/Rådatakommune[[#This Row],[B06-O]]-1</f>
        <v>5.2438680575134011E-2</v>
      </c>
      <c r="R46" s="24">
        <f>Rådatakommune[[#This Row],[Kvinner20-39-O]]/Rådatakommune[[#This Row],[B16-O]]</f>
        <v>0.11009911599249933</v>
      </c>
      <c r="S46" s="24">
        <f>Rådatakommune[[#This Row],[Eldre67+-O]]/Rådatakommune[[#This Row],[B16-O]]</f>
        <v>0.16721731106944071</v>
      </c>
      <c r="T46" s="24">
        <f>Rådatakommune[[#This Row],[S15-O]]/Rådatakommune[[#This Row],[S05-O]]-1</f>
        <v>0.10185255774948532</v>
      </c>
      <c r="U46" s="24">
        <f>Rådatakommune[[#This Row],[Y15-O]]/Rådatakommune[[#This Row],[Folk20-64-O]]</f>
        <v>0.86385098324080323</v>
      </c>
    </row>
    <row r="47" spans="1:21" x14ac:dyDescent="0.3">
      <c r="A47" s="2" t="s">
        <v>45</v>
      </c>
      <c r="B47" s="37">
        <v>7290</v>
      </c>
      <c r="C47" s="37">
        <v>7588</v>
      </c>
      <c r="D47" s="37">
        <v>3648</v>
      </c>
      <c r="E47" s="40">
        <v>1283</v>
      </c>
      <c r="F47" s="41">
        <v>866</v>
      </c>
      <c r="G47">
        <v>4379</v>
      </c>
      <c r="H47" s="46">
        <v>1719</v>
      </c>
      <c r="I47" s="37">
        <v>1822</v>
      </c>
      <c r="J47" s="42">
        <v>362.15</v>
      </c>
      <c r="K47" s="5">
        <v>369.44</v>
      </c>
      <c r="L47" s="37">
        <v>357300</v>
      </c>
      <c r="M47" s="43">
        <v>86.266666666700004</v>
      </c>
      <c r="N47">
        <v>4</v>
      </c>
      <c r="O47" s="36">
        <f>Rådatakommune[[#This Row],[B16-O]]/Rådatakommune[[#This Row],[Landareal2016-O]]</f>
        <v>20.952643932072348</v>
      </c>
      <c r="P47" s="36">
        <f>Rådatakommune[[#This Row],[B16-O]]/Rådatakommune[[#This Row],[Totalareal2016-O]]</f>
        <v>20.539194456474664</v>
      </c>
      <c r="Q47" s="38">
        <f>Rådatakommune[[#This Row],[B16-O]]/Rådatakommune[[#This Row],[B06-O]]-1</f>
        <v>4.0877914951989114E-2</v>
      </c>
      <c r="R47" s="24">
        <f>Rådatakommune[[#This Row],[Kvinner20-39-O]]/Rådatakommune[[#This Row],[B16-O]]</f>
        <v>0.11412756984712705</v>
      </c>
      <c r="S47" s="24">
        <f>Rådatakommune[[#This Row],[Eldre67+-O]]/Rådatakommune[[#This Row],[B16-O]]</f>
        <v>0.16908276225619398</v>
      </c>
      <c r="T47" s="24">
        <f>Rådatakommune[[#This Row],[S15-O]]/Rådatakommune[[#This Row],[S05-O]]-1</f>
        <v>5.9918557300756348E-2</v>
      </c>
      <c r="U47" s="24">
        <f>Rådatakommune[[#This Row],[Y15-O]]/Rådatakommune[[#This Row],[Folk20-64-O]]</f>
        <v>0.83306691025348256</v>
      </c>
    </row>
    <row r="48" spans="1:21" x14ac:dyDescent="0.3">
      <c r="A48" s="2" t="s">
        <v>46</v>
      </c>
      <c r="B48" s="37">
        <v>18591</v>
      </c>
      <c r="C48" s="37">
        <v>20119</v>
      </c>
      <c r="D48" s="37">
        <v>9724</v>
      </c>
      <c r="E48" s="40">
        <v>3331</v>
      </c>
      <c r="F48" s="41">
        <v>2305</v>
      </c>
      <c r="G48">
        <v>11543</v>
      </c>
      <c r="H48" s="46">
        <v>6360</v>
      </c>
      <c r="I48" s="37">
        <v>6968</v>
      </c>
      <c r="J48" s="42">
        <v>640.91999999999996</v>
      </c>
      <c r="K48" s="5">
        <v>724.28</v>
      </c>
      <c r="L48" s="37">
        <v>368000</v>
      </c>
      <c r="M48" s="43">
        <v>74.016666666700004</v>
      </c>
      <c r="N48">
        <v>4</v>
      </c>
      <c r="O48" s="36">
        <f>Rådatakommune[[#This Row],[B16-O]]/Rådatakommune[[#This Row],[Landareal2016-O]]</f>
        <v>31.390813206016354</v>
      </c>
      <c r="P48" s="36">
        <f>Rådatakommune[[#This Row],[B16-O]]/Rådatakommune[[#This Row],[Totalareal2016-O]]</f>
        <v>27.777931186833822</v>
      </c>
      <c r="Q48" s="38">
        <f>Rådatakommune[[#This Row],[B16-O]]/Rådatakommune[[#This Row],[B06-O]]-1</f>
        <v>8.2190307137862462E-2</v>
      </c>
      <c r="R48" s="24">
        <f>Rådatakommune[[#This Row],[Kvinner20-39-O]]/Rådatakommune[[#This Row],[B16-O]]</f>
        <v>0.11456831850489586</v>
      </c>
      <c r="S48" s="24">
        <f>Rådatakommune[[#This Row],[Eldre67+-O]]/Rådatakommune[[#This Row],[B16-O]]</f>
        <v>0.16556488891097967</v>
      </c>
      <c r="T48" s="24">
        <f>Rådatakommune[[#This Row],[S15-O]]/Rådatakommune[[#This Row],[S05-O]]-1</f>
        <v>9.5597484276729539E-2</v>
      </c>
      <c r="U48" s="24">
        <f>Rådatakommune[[#This Row],[Y15-O]]/Rådatakommune[[#This Row],[Folk20-64-O]]</f>
        <v>0.84241531664212077</v>
      </c>
    </row>
    <row r="49" spans="1:21" x14ac:dyDescent="0.3">
      <c r="A49" s="2" t="s">
        <v>47</v>
      </c>
      <c r="B49" s="37">
        <v>5051</v>
      </c>
      <c r="C49" s="37">
        <v>5131</v>
      </c>
      <c r="D49" s="37">
        <v>2301</v>
      </c>
      <c r="E49" s="40">
        <v>1045</v>
      </c>
      <c r="F49" s="41">
        <v>483</v>
      </c>
      <c r="G49">
        <v>2833</v>
      </c>
      <c r="H49" s="46">
        <v>1486</v>
      </c>
      <c r="I49" s="37">
        <v>1630</v>
      </c>
      <c r="J49" s="42">
        <v>475.41</v>
      </c>
      <c r="K49" s="5">
        <v>508.14000000000004</v>
      </c>
      <c r="L49" s="37">
        <v>348500</v>
      </c>
      <c r="M49" s="43">
        <v>66.599999999999994</v>
      </c>
      <c r="N49">
        <v>5</v>
      </c>
      <c r="O49" s="36">
        <f>Rådatakommune[[#This Row],[B16-O]]/Rådatakommune[[#This Row],[Landareal2016-O]]</f>
        <v>10.792789381796764</v>
      </c>
      <c r="P49" s="36">
        <f>Rådatakommune[[#This Row],[B16-O]]/Rådatakommune[[#This Row],[Totalareal2016-O]]</f>
        <v>10.097610894635336</v>
      </c>
      <c r="Q49" s="38">
        <f>Rådatakommune[[#This Row],[B16-O]]/Rådatakommune[[#This Row],[B06-O]]-1</f>
        <v>1.5838447832112523E-2</v>
      </c>
      <c r="R49" s="24">
        <f>Rådatakommune[[#This Row],[Kvinner20-39-O]]/Rådatakommune[[#This Row],[B16-O]]</f>
        <v>9.4133697135061395E-2</v>
      </c>
      <c r="S49" s="24">
        <f>Rådatakommune[[#This Row],[Eldre67+-O]]/Rådatakommune[[#This Row],[B16-O]]</f>
        <v>0.20366400311830052</v>
      </c>
      <c r="T49" s="24">
        <f>Rådatakommune[[#This Row],[S15-O]]/Rådatakommune[[#This Row],[S05-O]]-1</f>
        <v>9.6904441453566692E-2</v>
      </c>
      <c r="U49" s="24">
        <f>Rådatakommune[[#This Row],[Y15-O]]/Rådatakommune[[#This Row],[Folk20-64-O]]</f>
        <v>0.81221320155312393</v>
      </c>
    </row>
    <row r="50" spans="1:21" x14ac:dyDescent="0.3">
      <c r="A50" s="2" t="s">
        <v>48</v>
      </c>
      <c r="B50" s="37">
        <v>7675</v>
      </c>
      <c r="C50" s="37">
        <v>7901</v>
      </c>
      <c r="D50" s="37">
        <v>3839</v>
      </c>
      <c r="E50" s="40">
        <v>1338</v>
      </c>
      <c r="F50" s="41">
        <v>843</v>
      </c>
      <c r="G50">
        <v>4631</v>
      </c>
      <c r="H50" s="46">
        <v>2468</v>
      </c>
      <c r="I50" s="37">
        <v>2500</v>
      </c>
      <c r="J50" s="42">
        <v>479.04</v>
      </c>
      <c r="K50" s="5">
        <v>516.74</v>
      </c>
      <c r="L50" s="37">
        <v>369200</v>
      </c>
      <c r="M50" s="43">
        <v>54.95</v>
      </c>
      <c r="N50">
        <v>5</v>
      </c>
      <c r="O50" s="36">
        <f>Rådatakommune[[#This Row],[B16-O]]/Rådatakommune[[#This Row],[Landareal2016-O]]</f>
        <v>16.493403473613895</v>
      </c>
      <c r="P50" s="36">
        <f>Rådatakommune[[#This Row],[B16-O]]/Rådatakommune[[#This Row],[Totalareal2016-O]]</f>
        <v>15.290087858497504</v>
      </c>
      <c r="Q50" s="38">
        <f>Rådatakommune[[#This Row],[B16-O]]/Rådatakommune[[#This Row],[B06-O]]-1</f>
        <v>2.9446254071661349E-2</v>
      </c>
      <c r="R50" s="24">
        <f>Rådatakommune[[#This Row],[Kvinner20-39-O]]/Rådatakommune[[#This Row],[B16-O]]</f>
        <v>0.1066953550183521</v>
      </c>
      <c r="S50" s="24">
        <f>Rådatakommune[[#This Row],[Eldre67+-O]]/Rådatakommune[[#This Row],[B16-O]]</f>
        <v>0.16934565244905708</v>
      </c>
      <c r="T50" s="24">
        <f>Rådatakommune[[#This Row],[S15-O]]/Rådatakommune[[#This Row],[S05-O]]-1</f>
        <v>1.296596434359798E-2</v>
      </c>
      <c r="U50" s="24">
        <f>Rådatakommune[[#This Row],[Y15-O]]/Rådatakommune[[#This Row],[Folk20-64-O]]</f>
        <v>0.82897862232779096</v>
      </c>
    </row>
    <row r="51" spans="1:21" x14ac:dyDescent="0.3">
      <c r="A51" s="2" t="s">
        <v>49</v>
      </c>
      <c r="B51" s="37">
        <v>6453</v>
      </c>
      <c r="C51" s="37">
        <v>6142</v>
      </c>
      <c r="D51" s="37">
        <v>2733</v>
      </c>
      <c r="E51" s="40">
        <v>1247</v>
      </c>
      <c r="F51" s="41">
        <v>576</v>
      </c>
      <c r="G51">
        <v>3477</v>
      </c>
      <c r="H51" s="46">
        <v>1919</v>
      </c>
      <c r="I51" s="37">
        <v>1835</v>
      </c>
      <c r="J51" s="42">
        <v>603.35</v>
      </c>
      <c r="K51" s="5">
        <v>640.39</v>
      </c>
      <c r="L51" s="37">
        <v>329700</v>
      </c>
      <c r="M51" s="43">
        <v>78.233333333299996</v>
      </c>
      <c r="N51">
        <v>5</v>
      </c>
      <c r="O51" s="36">
        <f>Rådatakommune[[#This Row],[B16-O]]/Rådatakommune[[#This Row],[Landareal2016-O]]</f>
        <v>10.179829286483798</v>
      </c>
      <c r="P51" s="36">
        <f>Rådatakommune[[#This Row],[B16-O]]/Rådatakommune[[#This Row],[Totalareal2016-O]]</f>
        <v>9.5910304658098973</v>
      </c>
      <c r="Q51" s="38">
        <f>Rådatakommune[[#This Row],[B16-O]]/Rådatakommune[[#This Row],[B06-O]]-1</f>
        <v>-4.819463815279712E-2</v>
      </c>
      <c r="R51" s="24">
        <f>Rådatakommune[[#This Row],[Kvinner20-39-O]]/Rådatakommune[[#This Row],[B16-O]]</f>
        <v>9.3780527515467269E-2</v>
      </c>
      <c r="S51" s="24">
        <f>Rådatakommune[[#This Row],[Eldre67+-O]]/Rådatakommune[[#This Row],[B16-O]]</f>
        <v>0.20302832953435362</v>
      </c>
      <c r="T51" s="24">
        <f>Rådatakommune[[#This Row],[S15-O]]/Rådatakommune[[#This Row],[S05-O]]-1</f>
        <v>-4.3772798332464835E-2</v>
      </c>
      <c r="U51" s="24">
        <f>Rådatakommune[[#This Row],[Y15-O]]/Rådatakommune[[#This Row],[Folk20-64-O]]</f>
        <v>0.78602243313201037</v>
      </c>
    </row>
    <row r="52" spans="1:21" x14ac:dyDescent="0.3">
      <c r="A52" s="2" t="s">
        <v>50</v>
      </c>
      <c r="B52" s="37">
        <v>5218</v>
      </c>
      <c r="C52" s="37">
        <v>4763</v>
      </c>
      <c r="D52" s="37">
        <v>2109</v>
      </c>
      <c r="E52" s="40">
        <v>1122</v>
      </c>
      <c r="F52" s="41">
        <v>393</v>
      </c>
      <c r="G52">
        <v>2598</v>
      </c>
      <c r="H52" s="46">
        <v>1987</v>
      </c>
      <c r="I52" s="37">
        <v>1869</v>
      </c>
      <c r="J52" s="42">
        <v>777.41</v>
      </c>
      <c r="K52" s="5">
        <v>837.17</v>
      </c>
      <c r="L52" s="37">
        <v>342400</v>
      </c>
      <c r="M52" s="43">
        <v>96.616666666699999</v>
      </c>
      <c r="N52">
        <v>6</v>
      </c>
      <c r="O52" s="36">
        <f>Rådatakommune[[#This Row],[B16-O]]/Rådatakommune[[#This Row],[Landareal2016-O]]</f>
        <v>6.1267542223537133</v>
      </c>
      <c r="P52" s="36">
        <f>Rådatakommune[[#This Row],[B16-O]]/Rådatakommune[[#This Row],[Totalareal2016-O]]</f>
        <v>5.6894059748915993</v>
      </c>
      <c r="Q52" s="38">
        <f>Rådatakommune[[#This Row],[B16-O]]/Rådatakommune[[#This Row],[B06-O]]-1</f>
        <v>-8.7198160214641662E-2</v>
      </c>
      <c r="R52" s="24">
        <f>Rådatakommune[[#This Row],[Kvinner20-39-O]]/Rådatakommune[[#This Row],[B16-O]]</f>
        <v>8.2511022464833092E-2</v>
      </c>
      <c r="S52" s="24">
        <f>Rådatakommune[[#This Row],[Eldre67+-O]]/Rådatakommune[[#This Row],[B16-O]]</f>
        <v>0.23556581986143188</v>
      </c>
      <c r="T52" s="24">
        <f>Rådatakommune[[#This Row],[S15-O]]/Rådatakommune[[#This Row],[S05-O]]-1</f>
        <v>-5.9386009058882694E-2</v>
      </c>
      <c r="U52" s="24">
        <f>Rådatakommune[[#This Row],[Y15-O]]/Rådatakommune[[#This Row],[Folk20-64-O]]</f>
        <v>0.81177829099307164</v>
      </c>
    </row>
    <row r="53" spans="1:21" x14ac:dyDescent="0.3">
      <c r="A53" s="2" t="s">
        <v>51</v>
      </c>
      <c r="B53" s="37">
        <v>7714</v>
      </c>
      <c r="C53" s="37">
        <v>7456</v>
      </c>
      <c r="D53" s="37">
        <v>3298</v>
      </c>
      <c r="E53" s="40">
        <v>1696</v>
      </c>
      <c r="F53" s="41">
        <v>686</v>
      </c>
      <c r="G53">
        <v>4128</v>
      </c>
      <c r="H53" s="46">
        <v>2925</v>
      </c>
      <c r="I53" s="37">
        <v>2774</v>
      </c>
      <c r="J53" s="42">
        <v>1003.92</v>
      </c>
      <c r="K53" s="5">
        <v>1040.94</v>
      </c>
      <c r="L53" s="37">
        <v>335200</v>
      </c>
      <c r="M53" s="43">
        <v>111.333333333</v>
      </c>
      <c r="N53">
        <v>5</v>
      </c>
      <c r="O53" s="36">
        <f>Rådatakommune[[#This Row],[B16-O]]/Rådatakommune[[#This Row],[Landareal2016-O]]</f>
        <v>7.4268866045103197</v>
      </c>
      <c r="P53" s="36">
        <f>Rådatakommune[[#This Row],[B16-O]]/Rådatakommune[[#This Row],[Totalareal2016-O]]</f>
        <v>7.162756739101197</v>
      </c>
      <c r="Q53" s="38">
        <f>Rådatakommune[[#This Row],[B16-O]]/Rådatakommune[[#This Row],[B06-O]]-1</f>
        <v>-3.3445683173450869E-2</v>
      </c>
      <c r="R53" s="24">
        <f>Rådatakommune[[#This Row],[Kvinner20-39-O]]/Rådatakommune[[#This Row],[B16-O]]</f>
        <v>9.2006437768240343E-2</v>
      </c>
      <c r="S53" s="24">
        <f>Rådatakommune[[#This Row],[Eldre67+-O]]/Rådatakommune[[#This Row],[B16-O]]</f>
        <v>0.22746781115879827</v>
      </c>
      <c r="T53" s="24">
        <f>Rådatakommune[[#This Row],[S15-O]]/Rådatakommune[[#This Row],[S05-O]]-1</f>
        <v>-5.162393162393164E-2</v>
      </c>
      <c r="U53" s="24">
        <f>Rådatakommune[[#This Row],[Y15-O]]/Rådatakommune[[#This Row],[Folk20-64-O]]</f>
        <v>0.79893410852713176</v>
      </c>
    </row>
    <row r="54" spans="1:21" x14ac:dyDescent="0.3">
      <c r="A54" s="2" t="s">
        <v>52</v>
      </c>
      <c r="B54" s="37">
        <v>3906</v>
      </c>
      <c r="C54" s="37">
        <v>3760</v>
      </c>
      <c r="D54" s="37">
        <v>1723</v>
      </c>
      <c r="E54" s="40">
        <v>817</v>
      </c>
      <c r="F54" s="41">
        <v>318</v>
      </c>
      <c r="G54">
        <v>2107</v>
      </c>
      <c r="H54" s="46">
        <v>1498</v>
      </c>
      <c r="I54" s="37">
        <v>1534</v>
      </c>
      <c r="J54" s="42">
        <v>677.67</v>
      </c>
      <c r="K54" s="5">
        <v>705.28</v>
      </c>
      <c r="L54" s="37">
        <v>344500</v>
      </c>
      <c r="M54" s="43">
        <v>108.283333333</v>
      </c>
      <c r="N54">
        <v>5</v>
      </c>
      <c r="O54" s="36">
        <f>Rådatakommune[[#This Row],[B16-O]]/Rådatakommune[[#This Row],[Landareal2016-O]]</f>
        <v>5.5484232738648611</v>
      </c>
      <c r="P54" s="36">
        <f>Rådatakommune[[#This Row],[B16-O]]/Rådatakommune[[#This Row],[Totalareal2016-O]]</f>
        <v>5.331215970961888</v>
      </c>
      <c r="Q54" s="38">
        <f>Rådatakommune[[#This Row],[B16-O]]/Rådatakommune[[#This Row],[B06-O]]-1</f>
        <v>-3.737839221710193E-2</v>
      </c>
      <c r="R54" s="24">
        <f>Rådatakommune[[#This Row],[Kvinner20-39-O]]/Rådatakommune[[#This Row],[B16-O]]</f>
        <v>8.457446808510638E-2</v>
      </c>
      <c r="S54" s="24">
        <f>Rådatakommune[[#This Row],[Eldre67+-O]]/Rådatakommune[[#This Row],[B16-O]]</f>
        <v>0.21728723404255318</v>
      </c>
      <c r="T54" s="24">
        <f>Rådatakommune[[#This Row],[S15-O]]/Rådatakommune[[#This Row],[S05-O]]-1</f>
        <v>2.4032042723631575E-2</v>
      </c>
      <c r="U54" s="24">
        <f>Rådatakommune[[#This Row],[Y15-O]]/Rådatakommune[[#This Row],[Folk20-64-O]]</f>
        <v>0.81775035595633605</v>
      </c>
    </row>
    <row r="55" spans="1:21" x14ac:dyDescent="0.3">
      <c r="A55" s="2" t="s">
        <v>53</v>
      </c>
      <c r="B55" s="37">
        <v>18992</v>
      </c>
      <c r="C55" s="37">
        <v>21030</v>
      </c>
      <c r="D55" s="37">
        <v>10096</v>
      </c>
      <c r="E55" s="40">
        <v>3497</v>
      </c>
      <c r="F55" s="41">
        <v>2658</v>
      </c>
      <c r="G55">
        <v>12159</v>
      </c>
      <c r="H55" s="46">
        <v>9095</v>
      </c>
      <c r="I55" s="37">
        <v>9874</v>
      </c>
      <c r="J55" s="42">
        <v>1209.18</v>
      </c>
      <c r="K55" s="5">
        <v>1229.29</v>
      </c>
      <c r="L55" s="37">
        <v>376500</v>
      </c>
      <c r="M55" s="43">
        <v>95.2</v>
      </c>
      <c r="N55">
        <v>5</v>
      </c>
      <c r="O55" s="36">
        <f>Rådatakommune[[#This Row],[B16-O]]/Rådatakommune[[#This Row],[Landareal2016-O]]</f>
        <v>17.391951570485784</v>
      </c>
      <c r="P55" s="36">
        <f>Rådatakommune[[#This Row],[B16-O]]/Rådatakommune[[#This Row],[Totalareal2016-O]]</f>
        <v>17.107435999642071</v>
      </c>
      <c r="Q55" s="38">
        <f>Rådatakommune[[#This Row],[B16-O]]/Rådatakommune[[#This Row],[B06-O]]-1</f>
        <v>0.1073083403538333</v>
      </c>
      <c r="R55" s="24">
        <f>Rådatakommune[[#This Row],[Kvinner20-39-O]]/Rådatakommune[[#This Row],[B16-O]]</f>
        <v>0.12639087018544937</v>
      </c>
      <c r="S55" s="24">
        <f>Rådatakommune[[#This Row],[Eldre67+-O]]/Rådatakommune[[#This Row],[B16-O]]</f>
        <v>0.16628625772705657</v>
      </c>
      <c r="T55" s="24">
        <f>Rådatakommune[[#This Row],[S15-O]]/Rådatakommune[[#This Row],[S05-O]]-1</f>
        <v>8.5651456844419993E-2</v>
      </c>
      <c r="U55" s="24">
        <f>Rådatakommune[[#This Row],[Y15-O]]/Rådatakommune[[#This Row],[Folk20-64-O]]</f>
        <v>0.83033144173040541</v>
      </c>
    </row>
    <row r="56" spans="1:21" x14ac:dyDescent="0.3">
      <c r="A56" s="2" t="s">
        <v>54</v>
      </c>
      <c r="B56" s="37">
        <v>6845</v>
      </c>
      <c r="C56" s="37">
        <v>6525</v>
      </c>
      <c r="D56" s="37">
        <v>2999</v>
      </c>
      <c r="E56" s="40">
        <v>1441</v>
      </c>
      <c r="F56" s="41">
        <v>611</v>
      </c>
      <c r="G56">
        <v>3601</v>
      </c>
      <c r="H56" s="46">
        <v>2758</v>
      </c>
      <c r="I56" s="37">
        <v>2721</v>
      </c>
      <c r="J56" s="42">
        <v>2940.72</v>
      </c>
      <c r="K56" s="5">
        <v>3014.37</v>
      </c>
      <c r="L56" s="37">
        <v>329100</v>
      </c>
      <c r="M56" s="43">
        <v>148.15</v>
      </c>
      <c r="N56">
        <v>9</v>
      </c>
      <c r="O56" s="36">
        <f>Rådatakommune[[#This Row],[B16-O]]/Rådatakommune[[#This Row],[Landareal2016-O]]</f>
        <v>2.2188443646453933</v>
      </c>
      <c r="P56" s="36">
        <f>Rådatakommune[[#This Row],[B16-O]]/Rådatakommune[[#This Row],[Totalareal2016-O]]</f>
        <v>2.1646314155196609</v>
      </c>
      <c r="Q56" s="38">
        <f>Rådatakommune[[#This Row],[B16-O]]/Rådatakommune[[#This Row],[B06-O]]-1</f>
        <v>-4.6749452154857596E-2</v>
      </c>
      <c r="R56" s="24">
        <f>Rådatakommune[[#This Row],[Kvinner20-39-O]]/Rådatakommune[[#This Row],[B16-O]]</f>
        <v>9.3639846743295022E-2</v>
      </c>
      <c r="S56" s="24">
        <f>Rådatakommune[[#This Row],[Eldre67+-O]]/Rådatakommune[[#This Row],[B16-O]]</f>
        <v>0.22084291187739463</v>
      </c>
      <c r="T56" s="24">
        <f>Rådatakommune[[#This Row],[S15-O]]/Rådatakommune[[#This Row],[S05-O]]-1</f>
        <v>-1.3415518491660672E-2</v>
      </c>
      <c r="U56" s="24">
        <f>Rådatakommune[[#This Row],[Y15-O]]/Rådatakommune[[#This Row],[Folk20-64-O]]</f>
        <v>0.83282421549569563</v>
      </c>
    </row>
    <row r="57" spans="1:21" x14ac:dyDescent="0.3">
      <c r="A57" s="2" t="s">
        <v>55</v>
      </c>
      <c r="B57" s="37">
        <v>4348</v>
      </c>
      <c r="C57" s="37">
        <v>4429</v>
      </c>
      <c r="D57" s="37">
        <v>2098</v>
      </c>
      <c r="E57" s="40">
        <v>797</v>
      </c>
      <c r="F57" s="41">
        <v>495</v>
      </c>
      <c r="G57">
        <v>2550</v>
      </c>
      <c r="H57" s="46">
        <v>1772</v>
      </c>
      <c r="I57" s="37">
        <v>1887</v>
      </c>
      <c r="J57" s="42">
        <v>1293.27</v>
      </c>
      <c r="K57" s="5">
        <v>1339.92</v>
      </c>
      <c r="L57" s="37">
        <v>359500</v>
      </c>
      <c r="M57" s="43">
        <v>118.916666667</v>
      </c>
      <c r="N57">
        <v>5</v>
      </c>
      <c r="O57" s="36">
        <f>Rådatakommune[[#This Row],[B16-O]]/Rådatakommune[[#This Row],[Landareal2016-O]]</f>
        <v>3.4246522381250628</v>
      </c>
      <c r="P57" s="36">
        <f>Rådatakommune[[#This Row],[B16-O]]/Rådatakommune[[#This Row],[Totalareal2016-O]]</f>
        <v>3.3054212191772643</v>
      </c>
      <c r="Q57" s="38">
        <f>Rådatakommune[[#This Row],[B16-O]]/Rådatakommune[[#This Row],[B06-O]]-1</f>
        <v>1.8629254829806818E-2</v>
      </c>
      <c r="R57" s="24">
        <f>Rådatakommune[[#This Row],[Kvinner20-39-O]]/Rådatakommune[[#This Row],[B16-O]]</f>
        <v>0.11176337773763829</v>
      </c>
      <c r="S57" s="24">
        <f>Rådatakommune[[#This Row],[Eldre67+-O]]/Rådatakommune[[#This Row],[B16-O]]</f>
        <v>0.17995032738767217</v>
      </c>
      <c r="T57" s="24">
        <f>Rådatakommune[[#This Row],[S15-O]]/Rådatakommune[[#This Row],[S05-O]]-1</f>
        <v>6.4898419864559909E-2</v>
      </c>
      <c r="U57" s="24">
        <f>Rådatakommune[[#This Row],[Y15-O]]/Rådatakommune[[#This Row],[Folk20-64-O]]</f>
        <v>0.82274509803921569</v>
      </c>
    </row>
    <row r="58" spans="1:21" x14ac:dyDescent="0.3">
      <c r="A58" s="2" t="s">
        <v>56</v>
      </c>
      <c r="B58" s="37">
        <v>2797</v>
      </c>
      <c r="C58" s="37">
        <v>2600</v>
      </c>
      <c r="D58" s="37">
        <v>1101</v>
      </c>
      <c r="E58" s="40">
        <v>581</v>
      </c>
      <c r="F58" s="41">
        <v>246</v>
      </c>
      <c r="G58">
        <v>1485</v>
      </c>
      <c r="H58" s="46">
        <v>1062</v>
      </c>
      <c r="I58" s="37">
        <v>1040</v>
      </c>
      <c r="J58" s="42">
        <v>2126.14</v>
      </c>
      <c r="K58" s="5">
        <v>2165.79</v>
      </c>
      <c r="L58" s="37">
        <v>311700</v>
      </c>
      <c r="M58" s="43">
        <v>162.44999999999999</v>
      </c>
      <c r="N58">
        <v>11</v>
      </c>
      <c r="O58" s="36">
        <f>Rådatakommune[[#This Row],[B16-O]]/Rådatakommune[[#This Row],[Landareal2016-O]]</f>
        <v>1.2228733761652573</v>
      </c>
      <c r="P58" s="36">
        <f>Rådatakommune[[#This Row],[B16-O]]/Rådatakommune[[#This Row],[Totalareal2016-O]]</f>
        <v>1.2004857349973912</v>
      </c>
      <c r="Q58" s="38">
        <f>Rådatakommune[[#This Row],[B16-O]]/Rådatakommune[[#This Row],[B06-O]]-1</f>
        <v>-7.0432606363961425E-2</v>
      </c>
      <c r="R58" s="24">
        <f>Rådatakommune[[#This Row],[Kvinner20-39-O]]/Rådatakommune[[#This Row],[B16-O]]</f>
        <v>9.4615384615384615E-2</v>
      </c>
      <c r="S58" s="24">
        <f>Rådatakommune[[#This Row],[Eldre67+-O]]/Rådatakommune[[#This Row],[B16-O]]</f>
        <v>0.22346153846153846</v>
      </c>
      <c r="T58" s="24">
        <f>Rådatakommune[[#This Row],[S15-O]]/Rådatakommune[[#This Row],[S05-O]]-1</f>
        <v>-2.0715630885122405E-2</v>
      </c>
      <c r="U58" s="24">
        <f>Rådatakommune[[#This Row],[Y15-O]]/Rådatakommune[[#This Row],[Folk20-64-O]]</f>
        <v>0.74141414141414141</v>
      </c>
    </row>
    <row r="59" spans="1:21" x14ac:dyDescent="0.3">
      <c r="A59" s="2" t="s">
        <v>57</v>
      </c>
      <c r="B59" s="37">
        <v>2082</v>
      </c>
      <c r="C59" s="37">
        <v>1881</v>
      </c>
      <c r="D59" s="37">
        <v>858</v>
      </c>
      <c r="E59" s="40">
        <v>474</v>
      </c>
      <c r="F59" s="41">
        <v>159</v>
      </c>
      <c r="G59">
        <v>998</v>
      </c>
      <c r="H59" s="46">
        <v>758</v>
      </c>
      <c r="I59" s="37">
        <v>619</v>
      </c>
      <c r="J59" s="42">
        <v>3060.65</v>
      </c>
      <c r="K59" s="5">
        <v>3179.52</v>
      </c>
      <c r="L59" s="37">
        <v>335600</v>
      </c>
      <c r="M59" s="43">
        <v>193.58333333300001</v>
      </c>
      <c r="N59">
        <v>8</v>
      </c>
      <c r="O59" s="36">
        <f>Rådatakommune[[#This Row],[B16-O]]/Rådatakommune[[#This Row],[Landareal2016-O]]</f>
        <v>0.61457533530459219</v>
      </c>
      <c r="P59" s="36">
        <f>Rådatakommune[[#This Row],[B16-O]]/Rådatakommune[[#This Row],[Totalareal2016-O]]</f>
        <v>0.59159873188405798</v>
      </c>
      <c r="Q59" s="38">
        <f>Rådatakommune[[#This Row],[B16-O]]/Rådatakommune[[#This Row],[B06-O]]-1</f>
        <v>-9.6541786743515878E-2</v>
      </c>
      <c r="R59" s="24">
        <f>Rådatakommune[[#This Row],[Kvinner20-39-O]]/Rådatakommune[[#This Row],[B16-O]]</f>
        <v>8.4529505582137163E-2</v>
      </c>
      <c r="S59" s="24">
        <f>Rådatakommune[[#This Row],[Eldre67+-O]]/Rådatakommune[[#This Row],[B16-O]]</f>
        <v>0.25199362041467305</v>
      </c>
      <c r="T59" s="24">
        <f>Rådatakommune[[#This Row],[S15-O]]/Rådatakommune[[#This Row],[S05-O]]-1</f>
        <v>-0.18337730870712399</v>
      </c>
      <c r="U59" s="24">
        <f>Rådatakommune[[#This Row],[Y15-O]]/Rådatakommune[[#This Row],[Folk20-64-O]]</f>
        <v>0.85971943887775548</v>
      </c>
    </row>
    <row r="60" spans="1:21" x14ac:dyDescent="0.3">
      <c r="A60" s="2" t="s">
        <v>58</v>
      </c>
      <c r="B60" s="37">
        <v>1497</v>
      </c>
      <c r="C60" s="37">
        <v>1305</v>
      </c>
      <c r="D60" s="37">
        <v>630</v>
      </c>
      <c r="E60" s="40">
        <v>325</v>
      </c>
      <c r="F60" s="41">
        <v>103</v>
      </c>
      <c r="G60">
        <v>675</v>
      </c>
      <c r="H60" s="46">
        <v>600</v>
      </c>
      <c r="I60" s="37">
        <v>514</v>
      </c>
      <c r="J60" s="42">
        <v>1916.79</v>
      </c>
      <c r="K60" s="5">
        <v>2196.54</v>
      </c>
      <c r="L60" s="37">
        <v>312200</v>
      </c>
      <c r="M60" s="43">
        <v>188.65</v>
      </c>
      <c r="N60">
        <v>9</v>
      </c>
      <c r="O60" s="36">
        <f>Rådatakommune[[#This Row],[B16-O]]/Rådatakommune[[#This Row],[Landareal2016-O]]</f>
        <v>0.68082575556007696</v>
      </c>
      <c r="P60" s="36">
        <f>Rådatakommune[[#This Row],[B16-O]]/Rådatakommune[[#This Row],[Totalareal2016-O]]</f>
        <v>0.59411620093419648</v>
      </c>
      <c r="Q60" s="38">
        <f>Rådatakommune[[#This Row],[B16-O]]/Rådatakommune[[#This Row],[B06-O]]-1</f>
        <v>-0.12825651302605212</v>
      </c>
      <c r="R60" s="24">
        <f>Rådatakommune[[#This Row],[Kvinner20-39-O]]/Rådatakommune[[#This Row],[B16-O]]</f>
        <v>7.8927203065134094E-2</v>
      </c>
      <c r="S60" s="24">
        <f>Rådatakommune[[#This Row],[Eldre67+-O]]/Rådatakommune[[#This Row],[B16-O]]</f>
        <v>0.24904214559386972</v>
      </c>
      <c r="T60" s="24">
        <f>Rådatakommune[[#This Row],[S15-O]]/Rådatakommune[[#This Row],[S05-O]]-1</f>
        <v>-0.14333333333333331</v>
      </c>
      <c r="U60" s="24">
        <f>Rådatakommune[[#This Row],[Y15-O]]/Rådatakommune[[#This Row],[Folk20-64-O]]</f>
        <v>0.93333333333333335</v>
      </c>
    </row>
    <row r="61" spans="1:21" x14ac:dyDescent="0.3">
      <c r="A61" s="2" t="s">
        <v>59</v>
      </c>
      <c r="B61" s="37">
        <v>1755</v>
      </c>
      <c r="C61" s="37">
        <v>1620</v>
      </c>
      <c r="D61" s="37">
        <v>830</v>
      </c>
      <c r="E61" s="40">
        <v>280</v>
      </c>
      <c r="F61" s="41">
        <v>155</v>
      </c>
      <c r="G61">
        <v>901</v>
      </c>
      <c r="H61" s="46">
        <v>622</v>
      </c>
      <c r="I61" s="37">
        <v>634</v>
      </c>
      <c r="J61" s="42">
        <v>1097.18</v>
      </c>
      <c r="K61" s="5">
        <v>1122.6000000000001</v>
      </c>
      <c r="L61" s="37">
        <v>337500</v>
      </c>
      <c r="M61" s="43">
        <v>179.63333333330002</v>
      </c>
      <c r="N61">
        <v>8</v>
      </c>
      <c r="O61" s="36">
        <f>Rådatakommune[[#This Row],[B16-O]]/Rådatakommune[[#This Row],[Landareal2016-O]]</f>
        <v>1.476512513899269</v>
      </c>
      <c r="P61" s="36">
        <f>Rådatakommune[[#This Row],[B16-O]]/Rådatakommune[[#This Row],[Totalareal2016-O]]</f>
        <v>1.443078567610903</v>
      </c>
      <c r="Q61" s="38">
        <f>Rådatakommune[[#This Row],[B16-O]]/Rådatakommune[[#This Row],[B06-O]]-1</f>
        <v>-7.6923076923076872E-2</v>
      </c>
      <c r="R61" s="24">
        <f>Rådatakommune[[#This Row],[Kvinner20-39-O]]/Rådatakommune[[#This Row],[B16-O]]</f>
        <v>9.5679012345679007E-2</v>
      </c>
      <c r="S61" s="24">
        <f>Rådatakommune[[#This Row],[Eldre67+-O]]/Rådatakommune[[#This Row],[B16-O]]</f>
        <v>0.1728395061728395</v>
      </c>
      <c r="T61" s="24">
        <f>Rådatakommune[[#This Row],[S15-O]]/Rådatakommune[[#This Row],[S05-O]]-1</f>
        <v>1.9292604501607746E-2</v>
      </c>
      <c r="U61" s="24">
        <f>Rådatakommune[[#This Row],[Y15-O]]/Rådatakommune[[#This Row],[Folk20-64-O]]</f>
        <v>0.92119866814650386</v>
      </c>
    </row>
    <row r="62" spans="1:21" x14ac:dyDescent="0.3">
      <c r="A62" s="2" t="s">
        <v>60</v>
      </c>
      <c r="B62" s="37">
        <v>5368</v>
      </c>
      <c r="C62" s="37">
        <v>5580</v>
      </c>
      <c r="D62" s="37">
        <v>2864</v>
      </c>
      <c r="E62" s="40">
        <v>923</v>
      </c>
      <c r="F62" s="41">
        <v>559</v>
      </c>
      <c r="G62">
        <v>3100</v>
      </c>
      <c r="H62" s="46">
        <v>3132</v>
      </c>
      <c r="I62" s="37">
        <v>3137</v>
      </c>
      <c r="J62" s="42">
        <v>1822.24</v>
      </c>
      <c r="K62" s="5">
        <v>1880.51</v>
      </c>
      <c r="L62" s="37">
        <v>360500</v>
      </c>
      <c r="M62" s="43">
        <v>196.21666666670001</v>
      </c>
      <c r="N62">
        <v>8</v>
      </c>
      <c r="O62" s="36">
        <f>Rådatakommune[[#This Row],[B16-O]]/Rådatakommune[[#This Row],[Landareal2016-O]]</f>
        <v>3.0621652471683203</v>
      </c>
      <c r="P62" s="36">
        <f>Rådatakommune[[#This Row],[B16-O]]/Rådatakommune[[#This Row],[Totalareal2016-O]]</f>
        <v>2.9672801527245269</v>
      </c>
      <c r="Q62" s="38">
        <f>Rådatakommune[[#This Row],[B16-O]]/Rådatakommune[[#This Row],[B06-O]]-1</f>
        <v>3.9493293591654322E-2</v>
      </c>
      <c r="R62" s="24">
        <f>Rådatakommune[[#This Row],[Kvinner20-39-O]]/Rådatakommune[[#This Row],[B16-O]]</f>
        <v>0.10017921146953405</v>
      </c>
      <c r="S62" s="24">
        <f>Rådatakommune[[#This Row],[Eldre67+-O]]/Rådatakommune[[#This Row],[B16-O]]</f>
        <v>0.16541218637992833</v>
      </c>
      <c r="T62" s="24">
        <f>Rådatakommune[[#This Row],[S15-O]]/Rådatakommune[[#This Row],[S05-O]]-1</f>
        <v>1.5964240102170901E-3</v>
      </c>
      <c r="U62" s="24">
        <f>Rådatakommune[[#This Row],[Y15-O]]/Rådatakommune[[#This Row],[Folk20-64-O]]</f>
        <v>0.92387096774193544</v>
      </c>
    </row>
    <row r="63" spans="1:21" x14ac:dyDescent="0.3">
      <c r="A63" s="2" t="s">
        <v>61</v>
      </c>
      <c r="B63" s="37">
        <v>2392</v>
      </c>
      <c r="C63" s="37">
        <v>2426</v>
      </c>
      <c r="D63" s="37">
        <v>1263</v>
      </c>
      <c r="E63" s="40">
        <v>414</v>
      </c>
      <c r="F63" s="41">
        <v>252</v>
      </c>
      <c r="G63">
        <v>1314</v>
      </c>
      <c r="H63" s="46">
        <v>1085</v>
      </c>
      <c r="I63" s="37">
        <v>1263</v>
      </c>
      <c r="J63" s="42">
        <v>919.13</v>
      </c>
      <c r="K63" s="5">
        <v>942.15</v>
      </c>
      <c r="L63" s="37">
        <v>362500</v>
      </c>
      <c r="M63" s="43">
        <v>214.96666666670001</v>
      </c>
      <c r="N63">
        <v>8</v>
      </c>
      <c r="O63" s="36">
        <f>Rådatakommune[[#This Row],[B16-O]]/Rådatakommune[[#This Row],[Landareal2016-O]]</f>
        <v>2.6394525257580539</v>
      </c>
      <c r="P63" s="36">
        <f>Rådatakommune[[#This Row],[B16-O]]/Rådatakommune[[#This Row],[Totalareal2016-O]]</f>
        <v>2.5749615241734332</v>
      </c>
      <c r="Q63" s="38">
        <f>Rådatakommune[[#This Row],[B16-O]]/Rådatakommune[[#This Row],[B06-O]]-1</f>
        <v>1.4214046822742521E-2</v>
      </c>
      <c r="R63" s="24">
        <f>Rådatakommune[[#This Row],[Kvinner20-39-O]]/Rådatakommune[[#This Row],[B16-O]]</f>
        <v>0.10387469084913438</v>
      </c>
      <c r="S63" s="24">
        <f>Rådatakommune[[#This Row],[Eldre67+-O]]/Rådatakommune[[#This Row],[B16-O]]</f>
        <v>0.17065127782357792</v>
      </c>
      <c r="T63" s="24">
        <f>Rådatakommune[[#This Row],[S15-O]]/Rådatakommune[[#This Row],[S05-O]]-1</f>
        <v>0.16405529953917042</v>
      </c>
      <c r="U63" s="24">
        <f>Rådatakommune[[#This Row],[Y15-O]]/Rådatakommune[[#This Row],[Folk20-64-O]]</f>
        <v>0.96118721461187218</v>
      </c>
    </row>
    <row r="64" spans="1:21" x14ac:dyDescent="0.3">
      <c r="A64" s="2" t="s">
        <v>62</v>
      </c>
      <c r="B64" s="37">
        <v>1722</v>
      </c>
      <c r="C64" s="37">
        <v>1592</v>
      </c>
      <c r="D64" s="37">
        <v>790</v>
      </c>
      <c r="E64" s="40">
        <v>370</v>
      </c>
      <c r="F64" s="41">
        <v>120</v>
      </c>
      <c r="G64">
        <v>816</v>
      </c>
      <c r="H64" s="46">
        <v>710</v>
      </c>
      <c r="I64" s="37">
        <v>631</v>
      </c>
      <c r="J64" s="42">
        <v>1260.08</v>
      </c>
      <c r="K64" s="5">
        <v>1276.8799999999999</v>
      </c>
      <c r="L64" s="37">
        <v>342800</v>
      </c>
      <c r="M64" s="43">
        <v>233</v>
      </c>
      <c r="N64">
        <v>8</v>
      </c>
      <c r="O64" s="36">
        <f>Rådatakommune[[#This Row],[B16-O]]/Rådatakommune[[#This Row],[Landareal2016-O]]</f>
        <v>1.2634118468668656</v>
      </c>
      <c r="P64" s="36">
        <f>Rådatakommune[[#This Row],[B16-O]]/Rådatakommune[[#This Row],[Totalareal2016-O]]</f>
        <v>1.2467890483052442</v>
      </c>
      <c r="Q64" s="38">
        <f>Rådatakommune[[#This Row],[B16-O]]/Rådatakommune[[#This Row],[B06-O]]-1</f>
        <v>-7.5493612078977979E-2</v>
      </c>
      <c r="R64" s="24">
        <f>Rådatakommune[[#This Row],[Kvinner20-39-O]]/Rådatakommune[[#This Row],[B16-O]]</f>
        <v>7.5376884422110546E-2</v>
      </c>
      <c r="S64" s="24">
        <f>Rådatakommune[[#This Row],[Eldre67+-O]]/Rådatakommune[[#This Row],[B16-O]]</f>
        <v>0.23241206030150754</v>
      </c>
      <c r="T64" s="24">
        <f>Rådatakommune[[#This Row],[S15-O]]/Rådatakommune[[#This Row],[S05-O]]-1</f>
        <v>-0.11126760563380278</v>
      </c>
      <c r="U64" s="24">
        <f>Rådatakommune[[#This Row],[Y15-O]]/Rådatakommune[[#This Row],[Folk20-64-O]]</f>
        <v>0.96813725490196079</v>
      </c>
    </row>
    <row r="65" spans="1:21" x14ac:dyDescent="0.3">
      <c r="A65" s="2" t="s">
        <v>63</v>
      </c>
      <c r="B65" s="37">
        <v>2075</v>
      </c>
      <c r="C65" s="37">
        <v>1956</v>
      </c>
      <c r="D65" s="37">
        <v>1033</v>
      </c>
      <c r="E65" s="40">
        <v>380</v>
      </c>
      <c r="F65" s="41">
        <v>180</v>
      </c>
      <c r="G65">
        <v>1091</v>
      </c>
      <c r="H65" s="46">
        <v>737</v>
      </c>
      <c r="I65" s="37">
        <v>746</v>
      </c>
      <c r="J65" s="42">
        <v>1008.27</v>
      </c>
      <c r="K65" s="5">
        <v>1040.4100000000001</v>
      </c>
      <c r="L65" s="37">
        <v>343500</v>
      </c>
      <c r="M65" s="43">
        <v>164.1</v>
      </c>
      <c r="N65">
        <v>9</v>
      </c>
      <c r="O65" s="36">
        <f>Rådatakommune[[#This Row],[B16-O]]/Rådatakommune[[#This Row],[Landareal2016-O]]</f>
        <v>1.9399565592549615</v>
      </c>
      <c r="P65" s="36">
        <f>Rådatakommune[[#This Row],[B16-O]]/Rådatakommune[[#This Row],[Totalareal2016-O]]</f>
        <v>1.8800280658586517</v>
      </c>
      <c r="Q65" s="38">
        <f>Rådatakommune[[#This Row],[B16-O]]/Rådatakommune[[#This Row],[B06-O]]-1</f>
        <v>-5.7349397590361395E-2</v>
      </c>
      <c r="R65" s="24">
        <f>Rådatakommune[[#This Row],[Kvinner20-39-O]]/Rådatakommune[[#This Row],[B16-O]]</f>
        <v>9.202453987730061E-2</v>
      </c>
      <c r="S65" s="24">
        <f>Rådatakommune[[#This Row],[Eldre67+-O]]/Rådatakommune[[#This Row],[B16-O]]</f>
        <v>0.19427402862985685</v>
      </c>
      <c r="T65" s="24">
        <f>Rådatakommune[[#This Row],[S15-O]]/Rådatakommune[[#This Row],[S05-O]]-1</f>
        <v>1.2211668928086894E-2</v>
      </c>
      <c r="U65" s="24">
        <f>Rådatakommune[[#This Row],[Y15-O]]/Rådatakommune[[#This Row],[Folk20-64-O]]</f>
        <v>0.94683776351970672</v>
      </c>
    </row>
    <row r="66" spans="1:21" x14ac:dyDescent="0.3">
      <c r="A66" s="2" t="s">
        <v>64</v>
      </c>
      <c r="B66" s="37">
        <v>25314</v>
      </c>
      <c r="C66" s="37">
        <v>27476</v>
      </c>
      <c r="D66" s="37">
        <v>14032</v>
      </c>
      <c r="E66" s="40">
        <v>4656</v>
      </c>
      <c r="F66" s="41">
        <v>3480</v>
      </c>
      <c r="G66">
        <v>16085</v>
      </c>
      <c r="H66" s="46">
        <v>15038</v>
      </c>
      <c r="I66" s="37">
        <v>16704</v>
      </c>
      <c r="J66" s="42">
        <v>450.87</v>
      </c>
      <c r="K66" s="5">
        <v>478.17</v>
      </c>
      <c r="L66" s="37">
        <v>395900</v>
      </c>
      <c r="M66" s="43">
        <v>126.383333333</v>
      </c>
      <c r="N66">
        <v>4</v>
      </c>
      <c r="O66" s="36">
        <f>Rådatakommune[[#This Row],[B16-O]]/Rådatakommune[[#This Row],[Landareal2016-O]]</f>
        <v>60.939960520770953</v>
      </c>
      <c r="P66" s="36">
        <f>Rådatakommune[[#This Row],[B16-O]]/Rådatakommune[[#This Row],[Totalareal2016-O]]</f>
        <v>57.460735721605282</v>
      </c>
      <c r="Q66" s="38">
        <f>Rådatakommune[[#This Row],[B16-O]]/Rådatakommune[[#This Row],[B06-O]]-1</f>
        <v>8.5407284506597181E-2</v>
      </c>
      <c r="R66" s="24">
        <f>Rådatakommune[[#This Row],[Kvinner20-39-O]]/Rådatakommune[[#This Row],[B16-O]]</f>
        <v>0.12665599068277769</v>
      </c>
      <c r="S66" s="24">
        <f>Rådatakommune[[#This Row],[Eldre67+-O]]/Rådatakommune[[#This Row],[B16-O]]</f>
        <v>0.16945698063764741</v>
      </c>
      <c r="T66" s="24">
        <f>Rådatakommune[[#This Row],[S15-O]]/Rådatakommune[[#This Row],[S05-O]]-1</f>
        <v>0.11078600877776301</v>
      </c>
      <c r="U66" s="24">
        <f>Rådatakommune[[#This Row],[Y15-O]]/Rådatakommune[[#This Row],[Folk20-64-O]]</f>
        <v>0.87236555797326698</v>
      </c>
    </row>
    <row r="67" spans="1:21" x14ac:dyDescent="0.3">
      <c r="A67" s="2" t="s">
        <v>65</v>
      </c>
      <c r="B67" s="37">
        <v>27819</v>
      </c>
      <c r="C67" s="37">
        <v>30137</v>
      </c>
      <c r="D67" s="37">
        <v>14651</v>
      </c>
      <c r="E67" s="40">
        <v>4959</v>
      </c>
      <c r="F67" s="41">
        <v>3613</v>
      </c>
      <c r="G67">
        <v>17594</v>
      </c>
      <c r="H67" s="46">
        <v>15299</v>
      </c>
      <c r="I67" s="37">
        <v>16444</v>
      </c>
      <c r="J67" s="42">
        <v>630.03</v>
      </c>
      <c r="K67" s="5">
        <v>672.25</v>
      </c>
      <c r="L67" s="37">
        <v>375200</v>
      </c>
      <c r="M67" s="43">
        <v>104.05</v>
      </c>
      <c r="N67">
        <v>4</v>
      </c>
      <c r="O67" s="36">
        <f>Rådatakommune[[#This Row],[B16-O]]/Rådatakommune[[#This Row],[Landareal2016-O]]</f>
        <v>47.83423011602622</v>
      </c>
      <c r="P67" s="36">
        <f>Rådatakommune[[#This Row],[B16-O]]/Rådatakommune[[#This Row],[Totalareal2016-O]]</f>
        <v>44.830048345109709</v>
      </c>
      <c r="Q67" s="38">
        <f>Rådatakommune[[#This Row],[B16-O]]/Rådatakommune[[#This Row],[B06-O]]-1</f>
        <v>8.332434666954236E-2</v>
      </c>
      <c r="R67" s="24">
        <f>Rådatakommune[[#This Row],[Kvinner20-39-O]]/Rådatakommune[[#This Row],[B16-O]]</f>
        <v>0.11988585459733882</v>
      </c>
      <c r="S67" s="24">
        <f>Rådatakommune[[#This Row],[Eldre67+-O]]/Rådatakommune[[#This Row],[B16-O]]</f>
        <v>0.16454856156883566</v>
      </c>
      <c r="T67" s="24">
        <f>Rådatakommune[[#This Row],[S15-O]]/Rådatakommune[[#This Row],[S05-O]]-1</f>
        <v>7.4841492908033214E-2</v>
      </c>
      <c r="U67" s="24">
        <f>Rådatakommune[[#This Row],[Y15-O]]/Rådatakommune[[#This Row],[Folk20-64-O]]</f>
        <v>0.83272706604524271</v>
      </c>
    </row>
    <row r="68" spans="1:21" x14ac:dyDescent="0.3">
      <c r="A68" s="2" t="s">
        <v>66</v>
      </c>
      <c r="B68" s="37">
        <v>2826</v>
      </c>
      <c r="C68" s="37">
        <v>2701</v>
      </c>
      <c r="D68" s="37">
        <v>1297</v>
      </c>
      <c r="E68" s="40">
        <v>569</v>
      </c>
      <c r="F68" s="41">
        <v>241</v>
      </c>
      <c r="G68">
        <v>1499</v>
      </c>
      <c r="H68" s="46">
        <v>1325</v>
      </c>
      <c r="I68" s="37">
        <v>1267</v>
      </c>
      <c r="J68" s="42">
        <v>1349.14</v>
      </c>
      <c r="K68" s="5">
        <v>1364.39</v>
      </c>
      <c r="L68" s="37">
        <v>343500</v>
      </c>
      <c r="M68" s="43">
        <v>238.68333333300001</v>
      </c>
      <c r="N68">
        <v>10</v>
      </c>
      <c r="O68" s="36">
        <f>Rådatakommune[[#This Row],[B16-O]]/Rådatakommune[[#This Row],[Landareal2016-O]]</f>
        <v>2.0020160991446403</v>
      </c>
      <c r="P68" s="36">
        <f>Rådatakommune[[#This Row],[B16-O]]/Rådatakommune[[#This Row],[Totalareal2016-O]]</f>
        <v>1.9796392527063376</v>
      </c>
      <c r="Q68" s="38">
        <f>Rådatakommune[[#This Row],[B16-O]]/Rådatakommune[[#This Row],[B06-O]]-1</f>
        <v>-4.4232130219391319E-2</v>
      </c>
      <c r="R68" s="24">
        <f>Rådatakommune[[#This Row],[Kvinner20-39-O]]/Rådatakommune[[#This Row],[B16-O]]</f>
        <v>8.922621251388374E-2</v>
      </c>
      <c r="S68" s="24">
        <f>Rådatakommune[[#This Row],[Eldre67+-O]]/Rådatakommune[[#This Row],[B16-O]]</f>
        <v>0.21066271751203258</v>
      </c>
      <c r="T68" s="24">
        <f>Rådatakommune[[#This Row],[S15-O]]/Rådatakommune[[#This Row],[S05-O]]-1</f>
        <v>-4.3773584905660412E-2</v>
      </c>
      <c r="U68" s="24">
        <f>Rådatakommune[[#This Row],[Y15-O]]/Rådatakommune[[#This Row],[Folk20-64-O]]</f>
        <v>0.8652434956637759</v>
      </c>
    </row>
    <row r="69" spans="1:21" x14ac:dyDescent="0.3">
      <c r="A69" s="2" t="s">
        <v>67</v>
      </c>
      <c r="B69" s="37">
        <v>2172</v>
      </c>
      <c r="C69" s="37">
        <v>2055</v>
      </c>
      <c r="D69" s="37">
        <v>1049</v>
      </c>
      <c r="E69" s="40">
        <v>397</v>
      </c>
      <c r="F69" s="41">
        <v>190</v>
      </c>
      <c r="G69">
        <v>1110</v>
      </c>
      <c r="H69" s="46">
        <v>910</v>
      </c>
      <c r="I69" s="37">
        <v>823</v>
      </c>
      <c r="J69" s="42">
        <v>2169.14</v>
      </c>
      <c r="K69" s="5">
        <v>2259.5</v>
      </c>
      <c r="L69" s="37">
        <v>357100</v>
      </c>
      <c r="M69" s="43">
        <v>260.60000000000002</v>
      </c>
      <c r="N69">
        <v>10</v>
      </c>
      <c r="O69" s="36">
        <f>Rådatakommune[[#This Row],[B16-O]]/Rådatakommune[[#This Row],[Landareal2016-O]]</f>
        <v>0.94738006767659078</v>
      </c>
      <c r="P69" s="36">
        <f>Rådatakommune[[#This Row],[B16-O]]/Rådatakommune[[#This Row],[Totalareal2016-O]]</f>
        <v>0.90949325071918563</v>
      </c>
      <c r="Q69" s="38">
        <f>Rådatakommune[[#This Row],[B16-O]]/Rådatakommune[[#This Row],[B06-O]]-1</f>
        <v>-5.3867403314917128E-2</v>
      </c>
      <c r="R69" s="24">
        <f>Rådatakommune[[#This Row],[Kvinner20-39-O]]/Rådatakommune[[#This Row],[B16-O]]</f>
        <v>9.2457420924574207E-2</v>
      </c>
      <c r="S69" s="24">
        <f>Rådatakommune[[#This Row],[Eldre67+-O]]/Rådatakommune[[#This Row],[B16-O]]</f>
        <v>0.19318734793187348</v>
      </c>
      <c r="T69" s="24">
        <f>Rådatakommune[[#This Row],[S15-O]]/Rådatakommune[[#This Row],[S05-O]]-1</f>
        <v>-9.5604395604395598E-2</v>
      </c>
      <c r="U69" s="24">
        <f>Rådatakommune[[#This Row],[Y15-O]]/Rådatakommune[[#This Row],[Folk20-64-O]]</f>
        <v>0.94504504504504505</v>
      </c>
    </row>
    <row r="70" spans="1:21" x14ac:dyDescent="0.3">
      <c r="A70" s="2" t="s">
        <v>68</v>
      </c>
      <c r="B70" s="37">
        <v>2376</v>
      </c>
      <c r="C70" s="37">
        <v>2204</v>
      </c>
      <c r="D70" s="37">
        <v>1111</v>
      </c>
      <c r="E70" s="40">
        <v>488</v>
      </c>
      <c r="F70" s="41">
        <v>216</v>
      </c>
      <c r="G70">
        <v>1202</v>
      </c>
      <c r="H70" s="46">
        <v>1081</v>
      </c>
      <c r="I70" s="37">
        <v>1019</v>
      </c>
      <c r="J70" s="42">
        <v>1967.87</v>
      </c>
      <c r="K70" s="5">
        <v>2075.5299999999997</v>
      </c>
      <c r="L70" s="37">
        <v>355800</v>
      </c>
      <c r="M70" s="43">
        <v>267.39999999999998</v>
      </c>
      <c r="N70">
        <v>10</v>
      </c>
      <c r="O70" s="36">
        <f>Rådatakommune[[#This Row],[B16-O]]/Rådatakommune[[#This Row],[Landareal2016-O]]</f>
        <v>1.1199926824434541</v>
      </c>
      <c r="P70" s="36">
        <f>Rådatakommune[[#This Row],[B16-O]]/Rådatakommune[[#This Row],[Totalareal2016-O]]</f>
        <v>1.0618974430627359</v>
      </c>
      <c r="Q70" s="38">
        <f>Rådatakommune[[#This Row],[B16-O]]/Rådatakommune[[#This Row],[B06-O]]-1</f>
        <v>-7.2390572390572339E-2</v>
      </c>
      <c r="R70" s="24">
        <f>Rådatakommune[[#This Row],[Kvinner20-39-O]]/Rådatakommune[[#This Row],[B16-O]]</f>
        <v>9.8003629764065334E-2</v>
      </c>
      <c r="S70" s="24">
        <f>Rådatakommune[[#This Row],[Eldre67+-O]]/Rådatakommune[[#This Row],[B16-O]]</f>
        <v>0.22141560798548093</v>
      </c>
      <c r="T70" s="24">
        <f>Rådatakommune[[#This Row],[S15-O]]/Rådatakommune[[#This Row],[S05-O]]-1</f>
        <v>-5.7354301572617894E-2</v>
      </c>
      <c r="U70" s="24">
        <f>Rådatakommune[[#This Row],[Y15-O]]/Rådatakommune[[#This Row],[Folk20-64-O]]</f>
        <v>0.92429284525790345</v>
      </c>
    </row>
    <row r="71" spans="1:21" x14ac:dyDescent="0.3">
      <c r="A71" s="2" t="s">
        <v>69</v>
      </c>
      <c r="B71" s="37">
        <v>2455</v>
      </c>
      <c r="C71" s="37">
        <v>2347</v>
      </c>
      <c r="D71" s="37">
        <v>1229</v>
      </c>
      <c r="E71" s="40">
        <v>438</v>
      </c>
      <c r="F71" s="41">
        <v>232</v>
      </c>
      <c r="G71">
        <v>1341</v>
      </c>
      <c r="H71" s="46">
        <v>1327</v>
      </c>
      <c r="I71" s="37">
        <v>1115</v>
      </c>
      <c r="J71" s="42">
        <v>1888.72</v>
      </c>
      <c r="K71" s="5">
        <v>1968.55</v>
      </c>
      <c r="L71" s="37">
        <v>355000</v>
      </c>
      <c r="M71" s="43">
        <v>251.966666667</v>
      </c>
      <c r="N71">
        <v>10</v>
      </c>
      <c r="O71" s="36">
        <f>Rådatakommune[[#This Row],[B16-O]]/Rådatakommune[[#This Row],[Landareal2016-O]]</f>
        <v>1.2426405184463551</v>
      </c>
      <c r="P71" s="36">
        <f>Rådatakommune[[#This Row],[B16-O]]/Rådatakommune[[#This Row],[Totalareal2016-O]]</f>
        <v>1.1922481013944275</v>
      </c>
      <c r="Q71" s="38">
        <f>Rådatakommune[[#This Row],[B16-O]]/Rådatakommune[[#This Row],[B06-O]]-1</f>
        <v>-4.3991853360488831E-2</v>
      </c>
      <c r="R71" s="24">
        <f>Rådatakommune[[#This Row],[Kvinner20-39-O]]/Rådatakommune[[#This Row],[B16-O]]</f>
        <v>9.8849595227950574E-2</v>
      </c>
      <c r="S71" s="24">
        <f>Rådatakommune[[#This Row],[Eldre67+-O]]/Rådatakommune[[#This Row],[B16-O]]</f>
        <v>0.18662121857690669</v>
      </c>
      <c r="T71" s="24">
        <f>Rådatakommune[[#This Row],[S15-O]]/Rådatakommune[[#This Row],[S05-O]]-1</f>
        <v>-0.15975885455915595</v>
      </c>
      <c r="U71" s="24">
        <f>Rådatakommune[[#This Row],[Y15-O]]/Rådatakommune[[#This Row],[Folk20-64-O]]</f>
        <v>0.91648023862788963</v>
      </c>
    </row>
    <row r="72" spans="1:21" x14ac:dyDescent="0.3">
      <c r="A72" s="2" t="s">
        <v>70</v>
      </c>
      <c r="B72" s="37">
        <v>3766</v>
      </c>
      <c r="C72" s="37">
        <v>3664</v>
      </c>
      <c r="D72" s="37">
        <v>1800</v>
      </c>
      <c r="E72" s="40">
        <v>760</v>
      </c>
      <c r="F72" s="41">
        <v>371</v>
      </c>
      <c r="G72">
        <v>1982</v>
      </c>
      <c r="H72" s="46">
        <v>1487</v>
      </c>
      <c r="I72" s="37">
        <v>1496</v>
      </c>
      <c r="J72" s="42">
        <v>1252.29</v>
      </c>
      <c r="K72" s="5">
        <v>1330</v>
      </c>
      <c r="L72" s="37">
        <v>344200</v>
      </c>
      <c r="M72" s="43">
        <v>237.7</v>
      </c>
      <c r="N72">
        <v>10</v>
      </c>
      <c r="O72" s="36">
        <f>Rådatakommune[[#This Row],[B16-O]]/Rådatakommune[[#This Row],[Landareal2016-O]]</f>
        <v>2.9258398613739631</v>
      </c>
      <c r="P72" s="36">
        <f>Rådatakommune[[#This Row],[B16-O]]/Rådatakommune[[#This Row],[Totalareal2016-O]]</f>
        <v>2.7548872180451127</v>
      </c>
      <c r="Q72" s="38">
        <f>Rådatakommune[[#This Row],[B16-O]]/Rådatakommune[[#This Row],[B06-O]]-1</f>
        <v>-2.7084439723844889E-2</v>
      </c>
      <c r="R72" s="24">
        <f>Rådatakommune[[#This Row],[Kvinner20-39-O]]/Rådatakommune[[#This Row],[B16-O]]</f>
        <v>0.10125545851528384</v>
      </c>
      <c r="S72" s="24">
        <f>Rådatakommune[[#This Row],[Eldre67+-O]]/Rådatakommune[[#This Row],[B16-O]]</f>
        <v>0.20742358078602621</v>
      </c>
      <c r="T72" s="24">
        <f>Rådatakommune[[#This Row],[S15-O]]/Rådatakommune[[#This Row],[S05-O]]-1</f>
        <v>6.0524546065905405E-3</v>
      </c>
      <c r="U72" s="24">
        <f>Rådatakommune[[#This Row],[Y15-O]]/Rådatakommune[[#This Row],[Folk20-64-O]]</f>
        <v>0.90817356205852673</v>
      </c>
    </row>
    <row r="73" spans="1:21" x14ac:dyDescent="0.3">
      <c r="A73" s="2" t="s">
        <v>71</v>
      </c>
      <c r="B73" s="37">
        <v>5843</v>
      </c>
      <c r="C73" s="37">
        <v>5741</v>
      </c>
      <c r="D73" s="37">
        <v>2812</v>
      </c>
      <c r="E73" s="40">
        <v>1151</v>
      </c>
      <c r="F73" s="41">
        <v>545</v>
      </c>
      <c r="G73">
        <v>3173</v>
      </c>
      <c r="H73" s="46">
        <v>2552</v>
      </c>
      <c r="I73" s="37">
        <v>2597</v>
      </c>
      <c r="J73" s="42">
        <v>1092.32</v>
      </c>
      <c r="K73" s="5">
        <v>1141.48</v>
      </c>
      <c r="L73" s="37">
        <v>384700</v>
      </c>
      <c r="M73" s="43">
        <v>187.43333333300001</v>
      </c>
      <c r="N73">
        <v>8</v>
      </c>
      <c r="O73" s="36">
        <f>Rådatakommune[[#This Row],[B16-O]]/Rådatakommune[[#This Row],[Landareal2016-O]]</f>
        <v>5.2557858503002786</v>
      </c>
      <c r="P73" s="36">
        <f>Rådatakommune[[#This Row],[B16-O]]/Rådatakommune[[#This Row],[Totalareal2016-O]]</f>
        <v>5.0294354697410375</v>
      </c>
      <c r="Q73" s="38">
        <f>Rådatakommune[[#This Row],[B16-O]]/Rådatakommune[[#This Row],[B06-O]]-1</f>
        <v>-1.7456785897655314E-2</v>
      </c>
      <c r="R73" s="24">
        <f>Rådatakommune[[#This Row],[Kvinner20-39-O]]/Rådatakommune[[#This Row],[B16-O]]</f>
        <v>9.4931196655634903E-2</v>
      </c>
      <c r="S73" s="24">
        <f>Rådatakommune[[#This Row],[Eldre67+-O]]/Rådatakommune[[#This Row],[B16-O]]</f>
        <v>0.20048771990942343</v>
      </c>
      <c r="T73" s="24">
        <f>Rådatakommune[[#This Row],[S15-O]]/Rådatakommune[[#This Row],[S05-O]]-1</f>
        <v>1.7633228840125303E-2</v>
      </c>
      <c r="U73" s="24">
        <f>Rådatakommune[[#This Row],[Y15-O]]/Rådatakommune[[#This Row],[Folk20-64-O]]</f>
        <v>0.88622754491017963</v>
      </c>
    </row>
    <row r="74" spans="1:21" x14ac:dyDescent="0.3">
      <c r="A74" s="2" t="s">
        <v>72</v>
      </c>
      <c r="B74" s="37">
        <v>6083</v>
      </c>
      <c r="C74" s="37">
        <v>5935</v>
      </c>
      <c r="D74" s="37">
        <v>2766</v>
      </c>
      <c r="E74" s="40">
        <v>1156</v>
      </c>
      <c r="F74" s="41">
        <v>543</v>
      </c>
      <c r="G74">
        <v>3289</v>
      </c>
      <c r="H74" s="46">
        <v>2990</v>
      </c>
      <c r="I74" s="37">
        <v>2946</v>
      </c>
      <c r="J74" s="42">
        <v>888.37</v>
      </c>
      <c r="K74" s="5">
        <v>904.93</v>
      </c>
      <c r="L74" s="37">
        <v>329700</v>
      </c>
      <c r="M74" s="43">
        <v>213.8</v>
      </c>
      <c r="N74">
        <v>10</v>
      </c>
      <c r="O74" s="36">
        <f>Rådatakommune[[#This Row],[B16-O]]/Rådatakommune[[#This Row],[Landareal2016-O]]</f>
        <v>6.6807749023492464</v>
      </c>
      <c r="P74" s="36">
        <f>Rådatakommune[[#This Row],[B16-O]]/Rådatakommune[[#This Row],[Totalareal2016-O]]</f>
        <v>6.5585183384350172</v>
      </c>
      <c r="Q74" s="38">
        <f>Rådatakommune[[#This Row],[B16-O]]/Rådatakommune[[#This Row],[B06-O]]-1</f>
        <v>-2.4330100279467359E-2</v>
      </c>
      <c r="R74" s="24">
        <f>Rådatakommune[[#This Row],[Kvinner20-39-O]]/Rådatakommune[[#This Row],[B16-O]]</f>
        <v>9.1491154170176919E-2</v>
      </c>
      <c r="S74" s="24">
        <f>Rådatakommune[[#This Row],[Eldre67+-O]]/Rådatakommune[[#This Row],[B16-O]]</f>
        <v>0.19477674810446505</v>
      </c>
      <c r="T74" s="24">
        <f>Rådatakommune[[#This Row],[S15-O]]/Rådatakommune[[#This Row],[S05-O]]-1</f>
        <v>-1.4715719063545185E-2</v>
      </c>
      <c r="U74" s="24">
        <f>Rådatakommune[[#This Row],[Y15-O]]/Rådatakommune[[#This Row],[Folk20-64-O]]</f>
        <v>0.84098510185466713</v>
      </c>
    </row>
    <row r="75" spans="1:21" x14ac:dyDescent="0.3">
      <c r="A75" s="2" t="s">
        <v>73</v>
      </c>
      <c r="B75" s="37">
        <v>3231</v>
      </c>
      <c r="C75" s="37">
        <v>3154</v>
      </c>
      <c r="D75" s="37">
        <v>1562</v>
      </c>
      <c r="E75" s="40">
        <v>613</v>
      </c>
      <c r="F75" s="41">
        <v>298</v>
      </c>
      <c r="G75">
        <v>1745</v>
      </c>
      <c r="H75" s="46">
        <v>1151</v>
      </c>
      <c r="I75" s="37">
        <v>1050</v>
      </c>
      <c r="J75" s="42">
        <v>711.6</v>
      </c>
      <c r="K75" s="5">
        <v>742.18000000000006</v>
      </c>
      <c r="L75" s="37">
        <v>369500</v>
      </c>
      <c r="M75" s="43">
        <v>175.9</v>
      </c>
      <c r="N75">
        <v>5</v>
      </c>
      <c r="O75" s="36">
        <f>Rådatakommune[[#This Row],[B16-O]]/Rådatakommune[[#This Row],[Landareal2016-O]]</f>
        <v>4.4322653175941538</v>
      </c>
      <c r="P75" s="36">
        <f>Rådatakommune[[#This Row],[B16-O]]/Rådatakommune[[#This Row],[Totalareal2016-O]]</f>
        <v>4.2496429437602732</v>
      </c>
      <c r="Q75" s="38">
        <f>Rådatakommune[[#This Row],[B16-O]]/Rådatakommune[[#This Row],[B06-O]]-1</f>
        <v>-2.3831631073970905E-2</v>
      </c>
      <c r="R75" s="24">
        <f>Rådatakommune[[#This Row],[Kvinner20-39-O]]/Rådatakommune[[#This Row],[B16-O]]</f>
        <v>9.448319594166138E-2</v>
      </c>
      <c r="S75" s="24">
        <f>Rådatakommune[[#This Row],[Eldre67+-O]]/Rådatakommune[[#This Row],[B16-O]]</f>
        <v>0.19435637285986049</v>
      </c>
      <c r="T75" s="24">
        <f>Rådatakommune[[#This Row],[S15-O]]/Rådatakommune[[#This Row],[S05-O]]-1</f>
        <v>-8.7749782797567288E-2</v>
      </c>
      <c r="U75" s="24">
        <f>Rådatakommune[[#This Row],[Y15-O]]/Rådatakommune[[#This Row],[Folk20-64-O]]</f>
        <v>0.89512893982808028</v>
      </c>
    </row>
    <row r="76" spans="1:21" x14ac:dyDescent="0.3">
      <c r="A76" s="2" t="s">
        <v>74</v>
      </c>
      <c r="B76" s="37">
        <v>4566</v>
      </c>
      <c r="C76" s="37">
        <v>4462</v>
      </c>
      <c r="D76" s="37">
        <v>2186</v>
      </c>
      <c r="E76" s="40">
        <v>922</v>
      </c>
      <c r="F76" s="41">
        <v>441</v>
      </c>
      <c r="G76">
        <v>2480</v>
      </c>
      <c r="H76" s="46">
        <v>2261</v>
      </c>
      <c r="I76" s="37">
        <v>2095</v>
      </c>
      <c r="J76" s="42">
        <v>1221.48</v>
      </c>
      <c r="K76" s="5">
        <v>1247.57</v>
      </c>
      <c r="L76" s="37">
        <v>351000</v>
      </c>
      <c r="M76" s="43">
        <v>166.45</v>
      </c>
      <c r="N76">
        <v>5</v>
      </c>
      <c r="O76" s="36">
        <f>Rådatakommune[[#This Row],[B16-O]]/Rådatakommune[[#This Row],[Landareal2016-O]]</f>
        <v>3.6529456069685953</v>
      </c>
      <c r="P76" s="36">
        <f>Rådatakommune[[#This Row],[B16-O]]/Rådatakommune[[#This Row],[Totalareal2016-O]]</f>
        <v>3.576552818679513</v>
      </c>
      <c r="Q76" s="38">
        <f>Rådatakommune[[#This Row],[B16-O]]/Rådatakommune[[#This Row],[B06-O]]-1</f>
        <v>-2.2777047744196199E-2</v>
      </c>
      <c r="R76" s="24">
        <f>Rådatakommune[[#This Row],[Kvinner20-39-O]]/Rådatakommune[[#This Row],[B16-O]]</f>
        <v>9.8834603316898251E-2</v>
      </c>
      <c r="S76" s="24">
        <f>Rådatakommune[[#This Row],[Eldre67+-O]]/Rådatakommune[[#This Row],[B16-O]]</f>
        <v>0.20663379650380995</v>
      </c>
      <c r="T76" s="24">
        <f>Rådatakommune[[#This Row],[S15-O]]/Rådatakommune[[#This Row],[S05-O]]-1</f>
        <v>-7.3418841220698861E-2</v>
      </c>
      <c r="U76" s="24">
        <f>Rådatakommune[[#This Row],[Y15-O]]/Rådatakommune[[#This Row],[Folk20-64-O]]</f>
        <v>0.88145161290322582</v>
      </c>
    </row>
    <row r="77" spans="1:21" x14ac:dyDescent="0.3">
      <c r="A77" s="2" t="s">
        <v>75</v>
      </c>
      <c r="B77" s="37">
        <v>4854</v>
      </c>
      <c r="C77" s="37">
        <v>5072</v>
      </c>
      <c r="D77" s="37">
        <v>2598</v>
      </c>
      <c r="E77" s="40">
        <v>852</v>
      </c>
      <c r="F77" s="41">
        <v>562</v>
      </c>
      <c r="G77">
        <v>2973</v>
      </c>
      <c r="H77" s="46">
        <v>1737</v>
      </c>
      <c r="I77" s="37">
        <v>1727</v>
      </c>
      <c r="J77" s="42">
        <v>616.27</v>
      </c>
      <c r="K77" s="5">
        <v>639.9</v>
      </c>
      <c r="L77" s="37">
        <v>362500</v>
      </c>
      <c r="M77" s="43">
        <v>145.1</v>
      </c>
      <c r="N77">
        <v>4</v>
      </c>
      <c r="O77" s="36">
        <f>Rådatakommune[[#This Row],[B16-O]]/Rådatakommune[[#This Row],[Landareal2016-O]]</f>
        <v>8.2301588589416976</v>
      </c>
      <c r="P77" s="36">
        <f>Rådatakommune[[#This Row],[B16-O]]/Rådatakommune[[#This Row],[Totalareal2016-O]]</f>
        <v>7.9262384747616821</v>
      </c>
      <c r="Q77" s="38">
        <f>Rådatakommune[[#This Row],[B16-O]]/Rådatakommune[[#This Row],[B06-O]]-1</f>
        <v>4.4911413267408218E-2</v>
      </c>
      <c r="R77" s="24">
        <f>Rådatakommune[[#This Row],[Kvinner20-39-O]]/Rådatakommune[[#This Row],[B16-O]]</f>
        <v>0.11080441640378549</v>
      </c>
      <c r="S77" s="24">
        <f>Rådatakommune[[#This Row],[Eldre67+-O]]/Rådatakommune[[#This Row],[B16-O]]</f>
        <v>0.16798107255520506</v>
      </c>
      <c r="T77" s="24">
        <f>Rådatakommune[[#This Row],[S15-O]]/Rådatakommune[[#This Row],[S05-O]]-1</f>
        <v>-5.7570523891767866E-3</v>
      </c>
      <c r="U77" s="24">
        <f>Rådatakommune[[#This Row],[Y15-O]]/Rådatakommune[[#This Row],[Folk20-64-O]]</f>
        <v>0.87386478304742687</v>
      </c>
    </row>
    <row r="78" spans="1:21" x14ac:dyDescent="0.3">
      <c r="A78" s="2" t="s">
        <v>76</v>
      </c>
      <c r="B78" s="37">
        <v>6202</v>
      </c>
      <c r="C78" s="37">
        <v>6227</v>
      </c>
      <c r="D78" s="37">
        <v>3266</v>
      </c>
      <c r="E78" s="40">
        <v>1200</v>
      </c>
      <c r="F78" s="41">
        <v>625</v>
      </c>
      <c r="G78">
        <v>3487</v>
      </c>
      <c r="H78" s="46">
        <v>2213</v>
      </c>
      <c r="I78" s="37">
        <v>2320</v>
      </c>
      <c r="J78" s="42">
        <v>1146.3699999999999</v>
      </c>
      <c r="K78" s="5">
        <v>1191.1599999999999</v>
      </c>
      <c r="L78" s="37">
        <v>363500</v>
      </c>
      <c r="M78" s="43">
        <v>140.76666666700001</v>
      </c>
      <c r="N78">
        <v>4</v>
      </c>
      <c r="O78" s="36">
        <f>Rådatakommune[[#This Row],[B16-O]]/Rådatakommune[[#This Row],[Landareal2016-O]]</f>
        <v>5.4319286094367447</v>
      </c>
      <c r="P78" s="36">
        <f>Rådatakommune[[#This Row],[B16-O]]/Rådatakommune[[#This Row],[Totalareal2016-O]]</f>
        <v>5.2276772222035666</v>
      </c>
      <c r="Q78" s="38">
        <f>Rådatakommune[[#This Row],[B16-O]]/Rådatakommune[[#This Row],[B06-O]]-1</f>
        <v>4.0309577555626142E-3</v>
      </c>
      <c r="R78" s="24">
        <f>Rådatakommune[[#This Row],[Kvinner20-39-O]]/Rådatakommune[[#This Row],[B16-O]]</f>
        <v>0.1003693592420106</v>
      </c>
      <c r="S78" s="24">
        <f>Rådatakommune[[#This Row],[Eldre67+-O]]/Rådatakommune[[#This Row],[B16-O]]</f>
        <v>0.19270916974466035</v>
      </c>
      <c r="T78" s="24">
        <f>Rådatakommune[[#This Row],[S15-O]]/Rådatakommune[[#This Row],[S05-O]]-1</f>
        <v>4.8350655219159488E-2</v>
      </c>
      <c r="U78" s="24">
        <f>Rådatakommune[[#This Row],[Y15-O]]/Rådatakommune[[#This Row],[Folk20-64-O]]</f>
        <v>0.93662173788356751</v>
      </c>
    </row>
    <row r="79" spans="1:21" x14ac:dyDescent="0.3">
      <c r="A79" s="2" t="s">
        <v>77</v>
      </c>
      <c r="B79" s="37">
        <v>14453</v>
      </c>
      <c r="C79" s="37">
        <v>14906</v>
      </c>
      <c r="D79" s="37">
        <v>7245</v>
      </c>
      <c r="E79" s="40">
        <v>2731</v>
      </c>
      <c r="F79" s="41">
        <v>1518</v>
      </c>
      <c r="G79">
        <v>8513</v>
      </c>
      <c r="H79" s="46">
        <v>4865</v>
      </c>
      <c r="I79" s="37">
        <v>5195</v>
      </c>
      <c r="J79" s="42">
        <v>485.49</v>
      </c>
      <c r="K79" s="5">
        <v>562.57000000000005</v>
      </c>
      <c r="L79" s="37">
        <v>366300</v>
      </c>
      <c r="M79" s="43">
        <v>90.5</v>
      </c>
      <c r="N79">
        <v>4</v>
      </c>
      <c r="O79" s="36">
        <f>Rådatakommune[[#This Row],[B16-O]]/Rådatakommune[[#This Row],[Landareal2016-O]]</f>
        <v>30.703001091680569</v>
      </c>
      <c r="P79" s="36">
        <f>Rådatakommune[[#This Row],[B16-O]]/Rådatakommune[[#This Row],[Totalareal2016-O]]</f>
        <v>26.496258243418595</v>
      </c>
      <c r="Q79" s="38">
        <f>Rådatakommune[[#This Row],[B16-O]]/Rådatakommune[[#This Row],[B06-O]]-1</f>
        <v>3.1342973777070515E-2</v>
      </c>
      <c r="R79" s="24">
        <f>Rådatakommune[[#This Row],[Kvinner20-39-O]]/Rådatakommune[[#This Row],[B16-O]]</f>
        <v>0.10183818596538306</v>
      </c>
      <c r="S79" s="24">
        <f>Rådatakommune[[#This Row],[Eldre67+-O]]/Rådatakommune[[#This Row],[B16-O]]</f>
        <v>0.18321481282704952</v>
      </c>
      <c r="T79" s="24">
        <f>Rådatakommune[[#This Row],[S15-O]]/Rådatakommune[[#This Row],[S05-O]]-1</f>
        <v>6.7831449126413146E-2</v>
      </c>
      <c r="U79" s="24">
        <f>Rådatakommune[[#This Row],[Y15-O]]/Rådatakommune[[#This Row],[Folk20-64-O]]</f>
        <v>0.85105133325502169</v>
      </c>
    </row>
    <row r="80" spans="1:21" x14ac:dyDescent="0.3">
      <c r="A80" s="2" t="s">
        <v>78</v>
      </c>
      <c r="B80" s="37">
        <v>12599</v>
      </c>
      <c r="C80" s="37">
        <v>13180</v>
      </c>
      <c r="D80" s="37">
        <v>6437</v>
      </c>
      <c r="E80" s="40">
        <v>2335</v>
      </c>
      <c r="F80" s="41">
        <v>1419</v>
      </c>
      <c r="G80">
        <v>7556</v>
      </c>
      <c r="H80" s="46">
        <v>6147</v>
      </c>
      <c r="I80" s="37">
        <v>6539</v>
      </c>
      <c r="J80" s="42">
        <v>231.35</v>
      </c>
      <c r="K80" s="5">
        <v>249.51999999999998</v>
      </c>
      <c r="L80" s="37">
        <v>366600</v>
      </c>
      <c r="M80" s="43">
        <v>95.866666666699999</v>
      </c>
      <c r="N80">
        <v>4</v>
      </c>
      <c r="O80" s="36">
        <f>Rådatakommune[[#This Row],[B16-O]]/Rådatakommune[[#This Row],[Landareal2016-O]]</f>
        <v>56.969958936676036</v>
      </c>
      <c r="P80" s="36">
        <f>Rådatakommune[[#This Row],[B16-O]]/Rådatakommune[[#This Row],[Totalareal2016-O]]</f>
        <v>52.821417120872077</v>
      </c>
      <c r="Q80" s="38">
        <f>Rådatakommune[[#This Row],[B16-O]]/Rådatakommune[[#This Row],[B06-O]]-1</f>
        <v>4.6114771013572531E-2</v>
      </c>
      <c r="R80" s="24">
        <f>Rådatakommune[[#This Row],[Kvinner20-39-O]]/Rådatakommune[[#This Row],[B16-O]]</f>
        <v>0.10766312594840667</v>
      </c>
      <c r="S80" s="24">
        <f>Rådatakommune[[#This Row],[Eldre67+-O]]/Rådatakommune[[#This Row],[B16-O]]</f>
        <v>0.17716236722306525</v>
      </c>
      <c r="T80" s="24">
        <f>Rådatakommune[[#This Row],[S15-O]]/Rådatakommune[[#This Row],[S05-O]]-1</f>
        <v>6.3770945176508942E-2</v>
      </c>
      <c r="U80" s="24">
        <f>Rådatakommune[[#This Row],[Y15-O]]/Rådatakommune[[#This Row],[Folk20-64-O]]</f>
        <v>0.85190577024880887</v>
      </c>
    </row>
    <row r="81" spans="1:21" x14ac:dyDescent="0.3">
      <c r="A81" s="2" t="s">
        <v>79</v>
      </c>
      <c r="B81" s="37">
        <v>6312</v>
      </c>
      <c r="C81" s="37">
        <v>6629</v>
      </c>
      <c r="D81" s="37">
        <v>3203</v>
      </c>
      <c r="E81" s="40">
        <v>1129</v>
      </c>
      <c r="F81" s="41">
        <v>730</v>
      </c>
      <c r="G81">
        <v>3796</v>
      </c>
      <c r="H81" s="46">
        <v>2214</v>
      </c>
      <c r="I81" s="37">
        <v>1947</v>
      </c>
      <c r="J81" s="42">
        <v>194.36</v>
      </c>
      <c r="K81" s="5">
        <v>225.72000000000003</v>
      </c>
      <c r="L81" s="37">
        <v>368700</v>
      </c>
      <c r="M81" s="43">
        <v>58.166666666700003</v>
      </c>
      <c r="N81">
        <v>5</v>
      </c>
      <c r="O81" s="36">
        <f>Rådatakommune[[#This Row],[B16-O]]/Rådatakommune[[#This Row],[Landareal2016-O]]</f>
        <v>34.1068121012554</v>
      </c>
      <c r="P81" s="36">
        <f>Rådatakommune[[#This Row],[B16-O]]/Rådatakommune[[#This Row],[Totalareal2016-O]]</f>
        <v>29.368243841928049</v>
      </c>
      <c r="Q81" s="38">
        <f>Rådatakommune[[#This Row],[B16-O]]/Rådatakommune[[#This Row],[B06-O]]-1</f>
        <v>5.0221799746514639E-2</v>
      </c>
      <c r="R81" s="24">
        <f>Rådatakommune[[#This Row],[Kvinner20-39-O]]/Rådatakommune[[#This Row],[B16-O]]</f>
        <v>0.11012219037562226</v>
      </c>
      <c r="S81" s="24">
        <f>Rådatakommune[[#This Row],[Eldre67+-O]]/Rådatakommune[[#This Row],[B16-O]]</f>
        <v>0.17031226429325691</v>
      </c>
      <c r="T81" s="24">
        <f>Rådatakommune[[#This Row],[S15-O]]/Rådatakommune[[#This Row],[S05-O]]-1</f>
        <v>-0.12059620596205967</v>
      </c>
      <c r="U81" s="24">
        <f>Rådatakommune[[#This Row],[Y15-O]]/Rådatakommune[[#This Row],[Folk20-64-O]]</f>
        <v>0.84378292939936772</v>
      </c>
    </row>
    <row r="82" spans="1:21" x14ac:dyDescent="0.3">
      <c r="A82" s="2" t="s">
        <v>80</v>
      </c>
      <c r="B82" s="37">
        <v>8518</v>
      </c>
      <c r="C82" s="37">
        <v>9044</v>
      </c>
      <c r="D82" s="37">
        <v>4548</v>
      </c>
      <c r="E82" s="40">
        <v>1269</v>
      </c>
      <c r="F82" s="41">
        <v>1068</v>
      </c>
      <c r="G82">
        <v>5331</v>
      </c>
      <c r="H82" s="46">
        <v>2123</v>
      </c>
      <c r="I82" s="37">
        <v>2128</v>
      </c>
      <c r="J82" s="42">
        <v>271.7</v>
      </c>
      <c r="K82" s="5">
        <v>291.83999999999997</v>
      </c>
      <c r="L82" s="37">
        <v>404500</v>
      </c>
      <c r="M82" s="43">
        <v>50.2166666667</v>
      </c>
      <c r="N82">
        <v>1</v>
      </c>
      <c r="O82" s="36">
        <f>Rådatakommune[[#This Row],[B16-O]]/Rådatakommune[[#This Row],[Landareal2016-O]]</f>
        <v>33.286713286713287</v>
      </c>
      <c r="P82" s="36">
        <f>Rådatakommune[[#This Row],[B16-O]]/Rådatakommune[[#This Row],[Totalareal2016-O]]</f>
        <v>30.989583333333336</v>
      </c>
      <c r="Q82" s="38">
        <f>Rådatakommune[[#This Row],[B16-O]]/Rådatakommune[[#This Row],[B06-O]]-1</f>
        <v>6.1751584879079502E-2</v>
      </c>
      <c r="R82" s="24">
        <f>Rådatakommune[[#This Row],[Kvinner20-39-O]]/Rådatakommune[[#This Row],[B16-O]]</f>
        <v>0.11808934099955772</v>
      </c>
      <c r="S82" s="24">
        <f>Rådatakommune[[#This Row],[Eldre67+-O]]/Rådatakommune[[#This Row],[B16-O]]</f>
        <v>0.14031402034498008</v>
      </c>
      <c r="T82" s="24">
        <f>Rådatakommune[[#This Row],[S15-O]]/Rådatakommune[[#This Row],[S05-O]]-1</f>
        <v>2.3551577955722713E-3</v>
      </c>
      <c r="U82" s="24">
        <f>Rådatakommune[[#This Row],[Y15-O]]/Rådatakommune[[#This Row],[Folk20-64-O]]</f>
        <v>0.85312324141812046</v>
      </c>
    </row>
    <row r="83" spans="1:21" x14ac:dyDescent="0.3">
      <c r="A83" s="2" t="s">
        <v>81</v>
      </c>
      <c r="B83" s="37">
        <v>13066</v>
      </c>
      <c r="C83" s="37">
        <v>13695</v>
      </c>
      <c r="D83" s="37">
        <v>6609</v>
      </c>
      <c r="E83" s="40">
        <v>2392</v>
      </c>
      <c r="F83" s="41">
        <v>1456</v>
      </c>
      <c r="G83">
        <v>7773</v>
      </c>
      <c r="H83" s="46">
        <v>5538</v>
      </c>
      <c r="I83" s="37">
        <v>5940</v>
      </c>
      <c r="J83" s="42">
        <v>656.66</v>
      </c>
      <c r="K83" s="5">
        <v>756.65</v>
      </c>
      <c r="L83" s="37">
        <v>384000</v>
      </c>
      <c r="M83" s="43">
        <v>61.583333333299997</v>
      </c>
      <c r="N83">
        <v>1</v>
      </c>
      <c r="O83" s="36">
        <f>Rådatakommune[[#This Row],[B16-O]]/Rådatakommune[[#This Row],[Landareal2016-O]]</f>
        <v>20.8555416806262</v>
      </c>
      <c r="P83" s="36">
        <f>Rådatakommune[[#This Row],[B16-O]]/Rådatakommune[[#This Row],[Totalareal2016-O]]</f>
        <v>18.099517610520056</v>
      </c>
      <c r="Q83" s="38">
        <f>Rådatakommune[[#This Row],[B16-O]]/Rådatakommune[[#This Row],[B06-O]]-1</f>
        <v>4.8140211235267127E-2</v>
      </c>
      <c r="R83" s="24">
        <f>Rådatakommune[[#This Row],[Kvinner20-39-O]]/Rådatakommune[[#This Row],[B16-O]]</f>
        <v>0.10631617378605331</v>
      </c>
      <c r="S83" s="24">
        <f>Rådatakommune[[#This Row],[Eldre67+-O]]/Rådatakommune[[#This Row],[B16-O]]</f>
        <v>0.17466228550565899</v>
      </c>
      <c r="T83" s="24">
        <f>Rådatakommune[[#This Row],[S15-O]]/Rådatakommune[[#This Row],[S05-O]]-1</f>
        <v>7.2589382448537298E-2</v>
      </c>
      <c r="U83" s="24">
        <f>Rådatakommune[[#This Row],[Y15-O]]/Rådatakommune[[#This Row],[Folk20-64-O]]</f>
        <v>0.85025086839058284</v>
      </c>
    </row>
    <row r="84" spans="1:21" x14ac:dyDescent="0.3">
      <c r="A84" s="2" t="s">
        <v>82</v>
      </c>
      <c r="B84" s="37">
        <v>5977</v>
      </c>
      <c r="C84" s="37">
        <v>5758</v>
      </c>
      <c r="D84" s="37">
        <v>2635</v>
      </c>
      <c r="E84" s="40">
        <v>1029</v>
      </c>
      <c r="F84" s="41">
        <v>544</v>
      </c>
      <c r="G84">
        <v>3318</v>
      </c>
      <c r="H84" s="46">
        <v>1853</v>
      </c>
      <c r="I84" s="37">
        <v>1648</v>
      </c>
      <c r="J84" s="42">
        <v>659.15</v>
      </c>
      <c r="K84" s="5">
        <v>728.36</v>
      </c>
      <c r="L84" s="37">
        <v>330400</v>
      </c>
      <c r="M84" s="43">
        <v>97.383333333300001</v>
      </c>
      <c r="N84">
        <v>4</v>
      </c>
      <c r="O84" s="36">
        <f>Rådatakommune[[#This Row],[B16-O]]/Rådatakommune[[#This Row],[Landareal2016-O]]</f>
        <v>8.7354926799666242</v>
      </c>
      <c r="P84" s="36">
        <f>Rådatakommune[[#This Row],[B16-O]]/Rådatakommune[[#This Row],[Totalareal2016-O]]</f>
        <v>7.9054313800867702</v>
      </c>
      <c r="Q84" s="38">
        <f>Rådatakommune[[#This Row],[B16-O]]/Rådatakommune[[#This Row],[B06-O]]-1</f>
        <v>-3.6640455077798229E-2</v>
      </c>
      <c r="R84" s="24">
        <f>Rådatakommune[[#This Row],[Kvinner20-39-O]]/Rådatakommune[[#This Row],[B16-O]]</f>
        <v>9.4477249044807227E-2</v>
      </c>
      <c r="S84" s="24">
        <f>Rådatakommune[[#This Row],[Eldre67+-O]]/Rådatakommune[[#This Row],[B16-O]]</f>
        <v>0.17870788468218132</v>
      </c>
      <c r="T84" s="24">
        <f>Rådatakommune[[#This Row],[S15-O]]/Rådatakommune[[#This Row],[S05-O]]-1</f>
        <v>-0.11063140852671349</v>
      </c>
      <c r="U84" s="24">
        <f>Rådatakommune[[#This Row],[Y15-O]]/Rådatakommune[[#This Row],[Folk20-64-O]]</f>
        <v>0.79415310427968655</v>
      </c>
    </row>
    <row r="85" spans="1:21" x14ac:dyDescent="0.3">
      <c r="A85" s="2" t="s">
        <v>83</v>
      </c>
      <c r="B85" s="37">
        <v>6737</v>
      </c>
      <c r="C85" s="37">
        <v>6751</v>
      </c>
      <c r="D85" s="37">
        <v>3258</v>
      </c>
      <c r="E85" s="40">
        <v>1269</v>
      </c>
      <c r="F85" s="41">
        <v>671</v>
      </c>
      <c r="G85">
        <v>3823</v>
      </c>
      <c r="H85" s="46">
        <v>2803</v>
      </c>
      <c r="I85" s="37">
        <v>3031</v>
      </c>
      <c r="J85" s="42">
        <v>920.48</v>
      </c>
      <c r="K85" s="5">
        <v>955.31000000000006</v>
      </c>
      <c r="L85" s="37">
        <v>339400</v>
      </c>
      <c r="M85" s="43">
        <v>119.9</v>
      </c>
      <c r="N85">
        <v>4</v>
      </c>
      <c r="O85" s="36">
        <f>Rådatakommune[[#This Row],[B16-O]]/Rådatakommune[[#This Row],[Landareal2016-O]]</f>
        <v>7.3342169302972362</v>
      </c>
      <c r="P85" s="36">
        <f>Rådatakommune[[#This Row],[B16-O]]/Rådatakommune[[#This Row],[Totalareal2016-O]]</f>
        <v>7.0668160073693356</v>
      </c>
      <c r="Q85" s="38">
        <f>Rådatakommune[[#This Row],[B16-O]]/Rådatakommune[[#This Row],[B06-O]]-1</f>
        <v>2.0780762950869391E-3</v>
      </c>
      <c r="R85" s="24">
        <f>Rådatakommune[[#This Row],[Kvinner20-39-O]]/Rådatakommune[[#This Row],[B16-O]]</f>
        <v>9.9392682565545842E-2</v>
      </c>
      <c r="S85" s="24">
        <f>Rådatakommune[[#This Row],[Eldre67+-O]]/Rådatakommune[[#This Row],[B16-O]]</f>
        <v>0.18797215227373723</v>
      </c>
      <c r="T85" s="24">
        <f>Rådatakommune[[#This Row],[S15-O]]/Rådatakommune[[#This Row],[S05-O]]-1</f>
        <v>8.1341419907242196E-2</v>
      </c>
      <c r="U85" s="24">
        <f>Rådatakommune[[#This Row],[Y15-O]]/Rådatakommune[[#This Row],[Folk20-64-O]]</f>
        <v>0.85221030604237513</v>
      </c>
    </row>
    <row r="86" spans="1:21" x14ac:dyDescent="0.3">
      <c r="A86" s="2" t="s">
        <v>84</v>
      </c>
      <c r="B86" s="37">
        <v>3243</v>
      </c>
      <c r="C86" s="37">
        <v>3058</v>
      </c>
      <c r="D86" s="37">
        <v>1522</v>
      </c>
      <c r="E86" s="40">
        <v>638</v>
      </c>
      <c r="F86" s="41">
        <v>284</v>
      </c>
      <c r="G86">
        <v>1649</v>
      </c>
      <c r="H86" s="46">
        <v>1265</v>
      </c>
      <c r="I86" s="37">
        <v>1230</v>
      </c>
      <c r="J86" s="42">
        <v>1068.23</v>
      </c>
      <c r="K86" s="5">
        <v>1109.04</v>
      </c>
      <c r="L86" s="37">
        <v>351800</v>
      </c>
      <c r="M86" s="43">
        <v>122.833333333</v>
      </c>
      <c r="N86">
        <v>10</v>
      </c>
      <c r="O86" s="36">
        <f>Rådatakommune[[#This Row],[B16-O]]/Rådatakommune[[#This Row],[Landareal2016-O]]</f>
        <v>2.8626793855255892</v>
      </c>
      <c r="P86" s="36">
        <f>Rådatakommune[[#This Row],[B16-O]]/Rådatakommune[[#This Row],[Totalareal2016-O]]</f>
        <v>2.7573396811656927</v>
      </c>
      <c r="Q86" s="38">
        <f>Rådatakommune[[#This Row],[B16-O]]/Rådatakommune[[#This Row],[B06-O]]-1</f>
        <v>-5.7045945112550123E-2</v>
      </c>
      <c r="R86" s="24">
        <f>Rådatakommune[[#This Row],[Kvinner20-39-O]]/Rådatakommune[[#This Row],[B16-O]]</f>
        <v>9.287115761935906E-2</v>
      </c>
      <c r="S86" s="24">
        <f>Rådatakommune[[#This Row],[Eldre67+-O]]/Rådatakommune[[#This Row],[B16-O]]</f>
        <v>0.20863309352517986</v>
      </c>
      <c r="T86" s="24">
        <f>Rådatakommune[[#This Row],[S15-O]]/Rådatakommune[[#This Row],[S05-O]]-1</f>
        <v>-2.7667984189723271E-2</v>
      </c>
      <c r="U86" s="24">
        <f>Rådatakommune[[#This Row],[Y15-O]]/Rådatakommune[[#This Row],[Folk20-64-O]]</f>
        <v>0.92298362644026688</v>
      </c>
    </row>
    <row r="87" spans="1:21" x14ac:dyDescent="0.3">
      <c r="A87" s="2" t="s">
        <v>85</v>
      </c>
      <c r="B87" s="37">
        <v>1389</v>
      </c>
      <c r="C87" s="37">
        <v>1321</v>
      </c>
      <c r="D87" s="37">
        <v>653</v>
      </c>
      <c r="E87" s="40">
        <v>290</v>
      </c>
      <c r="F87" s="41">
        <v>113</v>
      </c>
      <c r="G87">
        <v>709</v>
      </c>
      <c r="H87" s="46">
        <v>558</v>
      </c>
      <c r="I87" s="37">
        <v>546</v>
      </c>
      <c r="J87" s="42">
        <v>442.75</v>
      </c>
      <c r="K87" s="5">
        <v>459.15</v>
      </c>
      <c r="L87" s="37">
        <v>295900</v>
      </c>
      <c r="M87" s="43">
        <v>131.26666666700001</v>
      </c>
      <c r="N87">
        <v>5</v>
      </c>
      <c r="O87" s="36">
        <f>Rådatakommune[[#This Row],[B16-O]]/Rådatakommune[[#This Row],[Landareal2016-O]]</f>
        <v>2.9836250705815925</v>
      </c>
      <c r="P87" s="36">
        <f>Rådatakommune[[#This Row],[B16-O]]/Rådatakommune[[#This Row],[Totalareal2016-O]]</f>
        <v>2.8770554285092018</v>
      </c>
      <c r="Q87" s="38">
        <f>Rådatakommune[[#This Row],[B16-O]]/Rådatakommune[[#This Row],[B06-O]]-1</f>
        <v>-4.8956083513318926E-2</v>
      </c>
      <c r="R87" s="24">
        <f>Rådatakommune[[#This Row],[Kvinner20-39-O]]/Rådatakommune[[#This Row],[B16-O]]</f>
        <v>8.5541256623769865E-2</v>
      </c>
      <c r="S87" s="24">
        <f>Rådatakommune[[#This Row],[Eldre67+-O]]/Rådatakommune[[#This Row],[B16-O]]</f>
        <v>0.21953065859197576</v>
      </c>
      <c r="T87" s="24">
        <f>Rådatakommune[[#This Row],[S15-O]]/Rådatakommune[[#This Row],[S05-O]]-1</f>
        <v>-2.1505376344086002E-2</v>
      </c>
      <c r="U87" s="24">
        <f>Rådatakommune[[#This Row],[Y15-O]]/Rådatakommune[[#This Row],[Folk20-64-O]]</f>
        <v>0.92101551480959098</v>
      </c>
    </row>
    <row r="88" spans="1:21" x14ac:dyDescent="0.3">
      <c r="A88" s="2" t="s">
        <v>86</v>
      </c>
      <c r="B88" s="37">
        <v>6425</v>
      </c>
      <c r="C88" s="37">
        <v>6458</v>
      </c>
      <c r="D88" s="37">
        <v>3406</v>
      </c>
      <c r="E88" s="40">
        <v>1171</v>
      </c>
      <c r="F88" s="41">
        <v>698</v>
      </c>
      <c r="G88">
        <v>3672</v>
      </c>
      <c r="H88" s="46">
        <v>3962</v>
      </c>
      <c r="I88" s="37">
        <v>3940</v>
      </c>
      <c r="J88" s="42">
        <v>849.13</v>
      </c>
      <c r="K88" s="5">
        <v>906.52</v>
      </c>
      <c r="L88" s="37">
        <v>363400</v>
      </c>
      <c r="M88" s="43">
        <v>138.65</v>
      </c>
      <c r="N88">
        <v>10</v>
      </c>
      <c r="O88" s="36">
        <f>Rådatakommune[[#This Row],[B16-O]]/Rådatakommune[[#This Row],[Landareal2016-O]]</f>
        <v>7.6054314415931605</v>
      </c>
      <c r="P88" s="36">
        <f>Rådatakommune[[#This Row],[B16-O]]/Rådatakommune[[#This Row],[Totalareal2016-O]]</f>
        <v>7.1239465207607111</v>
      </c>
      <c r="Q88" s="38">
        <f>Rådatakommune[[#This Row],[B16-O]]/Rådatakommune[[#This Row],[B06-O]]-1</f>
        <v>5.1361867704280417E-3</v>
      </c>
      <c r="R88" s="24">
        <f>Rådatakommune[[#This Row],[Kvinner20-39-O]]/Rådatakommune[[#This Row],[B16-O]]</f>
        <v>0.10808299783214617</v>
      </c>
      <c r="S88" s="24">
        <f>Rådatakommune[[#This Row],[Eldre67+-O]]/Rådatakommune[[#This Row],[B16-O]]</f>
        <v>0.18132548776711055</v>
      </c>
      <c r="T88" s="24">
        <f>Rådatakommune[[#This Row],[S15-O]]/Rådatakommune[[#This Row],[S05-O]]-1</f>
        <v>-5.5527511357900128E-3</v>
      </c>
      <c r="U88" s="24">
        <f>Rådatakommune[[#This Row],[Y15-O]]/Rådatakommune[[#This Row],[Folk20-64-O]]</f>
        <v>0.9275599128540305</v>
      </c>
    </row>
    <row r="89" spans="1:21" x14ac:dyDescent="0.3">
      <c r="A89" s="2" t="s">
        <v>87</v>
      </c>
      <c r="B89" s="37">
        <v>2217</v>
      </c>
      <c r="C89" s="37">
        <v>2168</v>
      </c>
      <c r="D89" s="37">
        <v>1165</v>
      </c>
      <c r="E89" s="40">
        <v>407</v>
      </c>
      <c r="F89" s="41">
        <v>206</v>
      </c>
      <c r="G89">
        <v>1219</v>
      </c>
      <c r="H89" s="46">
        <v>968</v>
      </c>
      <c r="I89" s="37">
        <v>907</v>
      </c>
      <c r="J89" s="42">
        <v>420.97</v>
      </c>
      <c r="K89" s="5">
        <v>463.25</v>
      </c>
      <c r="L89" s="37">
        <v>364100</v>
      </c>
      <c r="M89" s="43">
        <v>158.05000000000001</v>
      </c>
      <c r="N89">
        <v>10</v>
      </c>
      <c r="O89" s="36">
        <f>Rådatakommune[[#This Row],[B16-O]]/Rådatakommune[[#This Row],[Landareal2016-O]]</f>
        <v>5.150010689597833</v>
      </c>
      <c r="P89" s="36">
        <f>Rådatakommune[[#This Row],[B16-O]]/Rådatakommune[[#This Row],[Totalareal2016-O]]</f>
        <v>4.6799784133837017</v>
      </c>
      <c r="Q89" s="38">
        <f>Rådatakommune[[#This Row],[B16-O]]/Rådatakommune[[#This Row],[B06-O]]-1</f>
        <v>-2.2101939557961248E-2</v>
      </c>
      <c r="R89" s="24">
        <f>Rådatakommune[[#This Row],[Kvinner20-39-O]]/Rådatakommune[[#This Row],[B16-O]]</f>
        <v>9.5018450184501849E-2</v>
      </c>
      <c r="S89" s="24">
        <f>Rådatakommune[[#This Row],[Eldre67+-O]]/Rådatakommune[[#This Row],[B16-O]]</f>
        <v>0.18773062730627307</v>
      </c>
      <c r="T89" s="24">
        <f>Rådatakommune[[#This Row],[S15-O]]/Rådatakommune[[#This Row],[S05-O]]-1</f>
        <v>-6.3016528925619819E-2</v>
      </c>
      <c r="U89" s="24">
        <f>Rådatakommune[[#This Row],[Y15-O]]/Rådatakommune[[#This Row],[Folk20-64-O]]</f>
        <v>0.95570139458572601</v>
      </c>
    </row>
    <row r="90" spans="1:21" x14ac:dyDescent="0.3">
      <c r="A90" s="2" t="s">
        <v>88</v>
      </c>
      <c r="B90" s="37">
        <v>3137</v>
      </c>
      <c r="C90" s="37">
        <v>3220</v>
      </c>
      <c r="D90" s="37">
        <v>1792</v>
      </c>
      <c r="E90" s="40">
        <v>581</v>
      </c>
      <c r="F90" s="41">
        <v>367</v>
      </c>
      <c r="G90">
        <v>1855</v>
      </c>
      <c r="H90" s="46">
        <v>1348</v>
      </c>
      <c r="I90" s="37">
        <v>1372</v>
      </c>
      <c r="J90" s="42">
        <v>880.75</v>
      </c>
      <c r="K90" s="5">
        <v>963.11</v>
      </c>
      <c r="L90" s="37">
        <v>373600</v>
      </c>
      <c r="M90" s="43">
        <v>153.5</v>
      </c>
      <c r="N90">
        <v>10</v>
      </c>
      <c r="O90" s="36">
        <f>Rådatakommune[[#This Row],[B16-O]]/Rådatakommune[[#This Row],[Landareal2016-O]]</f>
        <v>3.6559750212886746</v>
      </c>
      <c r="P90" s="36">
        <f>Rådatakommune[[#This Row],[B16-O]]/Rådatakommune[[#This Row],[Totalareal2016-O]]</f>
        <v>3.3433356522100279</v>
      </c>
      <c r="Q90" s="38">
        <f>Rådatakommune[[#This Row],[B16-O]]/Rådatakommune[[#This Row],[B06-O]]-1</f>
        <v>2.6458399744979211E-2</v>
      </c>
      <c r="R90" s="24">
        <f>Rådatakommune[[#This Row],[Kvinner20-39-O]]/Rådatakommune[[#This Row],[B16-O]]</f>
        <v>0.11397515527950311</v>
      </c>
      <c r="S90" s="24">
        <f>Rådatakommune[[#This Row],[Eldre67+-O]]/Rådatakommune[[#This Row],[B16-O]]</f>
        <v>0.18043478260869567</v>
      </c>
      <c r="T90" s="24">
        <f>Rådatakommune[[#This Row],[S15-O]]/Rådatakommune[[#This Row],[S05-O]]-1</f>
        <v>1.7804154302670572E-2</v>
      </c>
      <c r="U90" s="24">
        <f>Rådatakommune[[#This Row],[Y15-O]]/Rådatakommune[[#This Row],[Folk20-64-O]]</f>
        <v>0.96603773584905661</v>
      </c>
    </row>
    <row r="91" spans="1:21" x14ac:dyDescent="0.3">
      <c r="A91" s="2" t="s">
        <v>89</v>
      </c>
      <c r="B91" s="37">
        <v>1624</v>
      </c>
      <c r="C91" s="37">
        <v>1590</v>
      </c>
      <c r="D91" s="37">
        <v>858</v>
      </c>
      <c r="E91" s="40">
        <v>309</v>
      </c>
      <c r="F91" s="41">
        <v>169</v>
      </c>
      <c r="G91">
        <v>912</v>
      </c>
      <c r="H91" s="46">
        <v>722</v>
      </c>
      <c r="I91" s="37">
        <v>759</v>
      </c>
      <c r="J91" s="42">
        <v>1311.1</v>
      </c>
      <c r="K91" s="5">
        <v>1505.4499999999998</v>
      </c>
      <c r="L91" s="37">
        <v>328800</v>
      </c>
      <c r="M91" s="43">
        <v>181</v>
      </c>
      <c r="N91">
        <v>10</v>
      </c>
      <c r="O91" s="36">
        <f>Rådatakommune[[#This Row],[B16-O]]/Rådatakommune[[#This Row],[Landareal2016-O]]</f>
        <v>1.2127221417130654</v>
      </c>
      <c r="P91" s="36">
        <f>Rådatakommune[[#This Row],[B16-O]]/Rådatakommune[[#This Row],[Totalareal2016-O]]</f>
        <v>1.0561626091866221</v>
      </c>
      <c r="Q91" s="38">
        <f>Rådatakommune[[#This Row],[B16-O]]/Rådatakommune[[#This Row],[B06-O]]-1</f>
        <v>-2.0935960591133007E-2</v>
      </c>
      <c r="R91" s="24">
        <f>Rådatakommune[[#This Row],[Kvinner20-39-O]]/Rådatakommune[[#This Row],[B16-O]]</f>
        <v>0.10628930817610063</v>
      </c>
      <c r="S91" s="24">
        <f>Rådatakommune[[#This Row],[Eldre67+-O]]/Rådatakommune[[#This Row],[B16-O]]</f>
        <v>0.19433962264150945</v>
      </c>
      <c r="T91" s="24">
        <f>Rådatakommune[[#This Row],[S15-O]]/Rådatakommune[[#This Row],[S05-O]]-1</f>
        <v>5.1246537396121949E-2</v>
      </c>
      <c r="U91" s="24">
        <f>Rådatakommune[[#This Row],[Y15-O]]/Rådatakommune[[#This Row],[Folk20-64-O]]</f>
        <v>0.94078947368421051</v>
      </c>
    </row>
    <row r="92" spans="1:21" x14ac:dyDescent="0.3">
      <c r="A92" s="2" t="s">
        <v>90</v>
      </c>
      <c r="B92" s="37">
        <v>57759</v>
      </c>
      <c r="C92" s="37">
        <v>67895</v>
      </c>
      <c r="D92" s="37">
        <v>32235</v>
      </c>
      <c r="E92" s="40">
        <v>10176</v>
      </c>
      <c r="F92" s="41">
        <v>9211</v>
      </c>
      <c r="G92">
        <v>40435</v>
      </c>
      <c r="H92" s="46">
        <v>32510</v>
      </c>
      <c r="I92" s="37">
        <v>35867</v>
      </c>
      <c r="J92" s="42">
        <v>134.79</v>
      </c>
      <c r="K92" s="5">
        <v>137.01</v>
      </c>
      <c r="L92" s="37">
        <v>410200</v>
      </c>
      <c r="M92" s="43">
        <v>30.4</v>
      </c>
      <c r="N92">
        <v>2</v>
      </c>
      <c r="O92" s="36">
        <f>Rådatakommune[[#This Row],[B16-O]]/Rådatakommune[[#This Row],[Landareal2016-O]]</f>
        <v>503.70947399658729</v>
      </c>
      <c r="P92" s="36">
        <f>Rådatakommune[[#This Row],[B16-O]]/Rådatakommune[[#This Row],[Totalareal2016-O]]</f>
        <v>495.54777023574923</v>
      </c>
      <c r="Q92" s="38">
        <f>Rådatakommune[[#This Row],[B16-O]]/Rådatakommune[[#This Row],[B06-O]]-1</f>
        <v>0.17548780276666842</v>
      </c>
      <c r="R92" s="24">
        <f>Rådatakommune[[#This Row],[Kvinner20-39-O]]/Rådatakommune[[#This Row],[B16-O]]</f>
        <v>0.13566536563811768</v>
      </c>
      <c r="S92" s="24">
        <f>Rådatakommune[[#This Row],[Eldre67+-O]]/Rådatakommune[[#This Row],[B16-O]]</f>
        <v>0.14987848884306651</v>
      </c>
      <c r="T92" s="24">
        <f>Rådatakommune[[#This Row],[S15-O]]/Rådatakommune[[#This Row],[S05-O]]-1</f>
        <v>0.10326053521993228</v>
      </c>
      <c r="U92" s="24">
        <f>Rådatakommune[[#This Row],[Y15-O]]/Rådatakommune[[#This Row],[Folk20-64-O]]</f>
        <v>0.79720539136886359</v>
      </c>
    </row>
    <row r="93" spans="1:21" x14ac:dyDescent="0.3">
      <c r="A93" s="2" t="s">
        <v>91</v>
      </c>
      <c r="B93" s="37">
        <v>23315</v>
      </c>
      <c r="C93" s="37">
        <v>27013</v>
      </c>
      <c r="D93" s="37">
        <v>13385</v>
      </c>
      <c r="E93" s="40">
        <v>4105</v>
      </c>
      <c r="F93" s="41">
        <v>3305</v>
      </c>
      <c r="G93">
        <v>15852</v>
      </c>
      <c r="H93" s="46">
        <v>13413</v>
      </c>
      <c r="I93" s="37">
        <v>16072</v>
      </c>
      <c r="J93" s="42">
        <v>754.26</v>
      </c>
      <c r="K93" s="5">
        <v>793.09</v>
      </c>
      <c r="L93" s="37">
        <v>451600</v>
      </c>
      <c r="M93" s="43">
        <v>59.083333333299997</v>
      </c>
      <c r="N93">
        <v>5</v>
      </c>
      <c r="O93" s="36">
        <f>Rådatakommune[[#This Row],[B16-O]]/Rådatakommune[[#This Row],[Landareal2016-O]]</f>
        <v>35.813910322700394</v>
      </c>
      <c r="P93" s="36">
        <f>Rådatakommune[[#This Row],[B16-O]]/Rådatakommune[[#This Row],[Totalareal2016-O]]</f>
        <v>34.060447111929285</v>
      </c>
      <c r="Q93" s="38">
        <f>Rådatakommune[[#This Row],[B16-O]]/Rådatakommune[[#This Row],[B06-O]]-1</f>
        <v>0.15861033669311597</v>
      </c>
      <c r="R93" s="24">
        <f>Rådatakommune[[#This Row],[Kvinner20-39-O]]/Rådatakommune[[#This Row],[B16-O]]</f>
        <v>0.12234849887091401</v>
      </c>
      <c r="S93" s="24">
        <f>Rådatakommune[[#This Row],[Eldre67+-O]]/Rådatakommune[[#This Row],[B16-O]]</f>
        <v>0.15196386924813979</v>
      </c>
      <c r="T93" s="24">
        <f>Rådatakommune[[#This Row],[S15-O]]/Rådatakommune[[#This Row],[S05-O]]-1</f>
        <v>0.19824051293521205</v>
      </c>
      <c r="U93" s="24">
        <f>Rådatakommune[[#This Row],[Y15-O]]/Rådatakommune[[#This Row],[Folk20-64-O]]</f>
        <v>0.84437294978551602</v>
      </c>
    </row>
    <row r="94" spans="1:21" x14ac:dyDescent="0.3">
      <c r="A94" s="2" t="s">
        <v>92</v>
      </c>
      <c r="B94" s="37">
        <v>28197</v>
      </c>
      <c r="C94" s="37">
        <v>29801</v>
      </c>
      <c r="D94" s="37">
        <v>14393</v>
      </c>
      <c r="E94" s="40">
        <v>4987</v>
      </c>
      <c r="F94" s="41">
        <v>3525</v>
      </c>
      <c r="G94">
        <v>17614</v>
      </c>
      <c r="H94" s="46">
        <v>13357</v>
      </c>
      <c r="I94" s="37">
        <v>13406</v>
      </c>
      <c r="J94" s="42">
        <v>1421.82</v>
      </c>
      <c r="K94" s="5">
        <v>1555.08</v>
      </c>
      <c r="L94" s="37">
        <v>382000</v>
      </c>
      <c r="M94" s="43">
        <v>47.05</v>
      </c>
      <c r="N94">
        <v>5</v>
      </c>
      <c r="O94" s="36">
        <f>Rådatakommune[[#This Row],[B16-O]]/Rådatakommune[[#This Row],[Landareal2016-O]]</f>
        <v>20.959755805938869</v>
      </c>
      <c r="P94" s="36">
        <f>Rådatakommune[[#This Row],[B16-O]]/Rådatakommune[[#This Row],[Totalareal2016-O]]</f>
        <v>19.163644314118887</v>
      </c>
      <c r="Q94" s="38">
        <f>Rådatakommune[[#This Row],[B16-O]]/Rådatakommune[[#This Row],[B06-O]]-1</f>
        <v>5.6885484271376408E-2</v>
      </c>
      <c r="R94" s="24">
        <f>Rådatakommune[[#This Row],[Kvinner20-39-O]]/Rådatakommune[[#This Row],[B16-O]]</f>
        <v>0.11828462132143217</v>
      </c>
      <c r="S94" s="24">
        <f>Rådatakommune[[#This Row],[Eldre67+-O]]/Rådatakommune[[#This Row],[B16-O]]</f>
        <v>0.16734337773900204</v>
      </c>
      <c r="T94" s="24">
        <f>Rådatakommune[[#This Row],[S15-O]]/Rådatakommune[[#This Row],[S05-O]]-1</f>
        <v>3.6684884330313583E-3</v>
      </c>
      <c r="U94" s="24">
        <f>Rådatakommune[[#This Row],[Y15-O]]/Rådatakommune[[#This Row],[Folk20-64-O]]</f>
        <v>0.817134097876689</v>
      </c>
    </row>
    <row r="95" spans="1:21" x14ac:dyDescent="0.3">
      <c r="A95" s="2" t="s">
        <v>93</v>
      </c>
      <c r="B95" s="37">
        <v>5307</v>
      </c>
      <c r="C95" s="37">
        <v>6767</v>
      </c>
      <c r="D95" s="37">
        <v>3419</v>
      </c>
      <c r="E95" s="40">
        <v>937</v>
      </c>
      <c r="F95" s="41">
        <v>782</v>
      </c>
      <c r="G95">
        <v>3986</v>
      </c>
      <c r="H95" s="46">
        <v>1771</v>
      </c>
      <c r="I95" s="37">
        <v>2208</v>
      </c>
      <c r="J95" s="42">
        <v>134.62</v>
      </c>
      <c r="K95" s="5">
        <v>192.69</v>
      </c>
      <c r="L95" s="37">
        <v>462600</v>
      </c>
      <c r="M95" s="43">
        <v>37.049999999999997</v>
      </c>
      <c r="N95">
        <v>5</v>
      </c>
      <c r="O95" s="36">
        <f>Rådatakommune[[#This Row],[B16-O]]/Rådatakommune[[#This Row],[Landareal2016-O]]</f>
        <v>50.267419402763331</v>
      </c>
      <c r="P95" s="36">
        <f>Rådatakommune[[#This Row],[B16-O]]/Rådatakommune[[#This Row],[Totalareal2016-O]]</f>
        <v>35.118584254502053</v>
      </c>
      <c r="Q95" s="38">
        <f>Rådatakommune[[#This Row],[B16-O]]/Rådatakommune[[#This Row],[B06-O]]-1</f>
        <v>0.27510834746561152</v>
      </c>
      <c r="R95" s="24">
        <f>Rådatakommune[[#This Row],[Kvinner20-39-O]]/Rådatakommune[[#This Row],[B16-O]]</f>
        <v>0.11556080981232451</v>
      </c>
      <c r="S95" s="24">
        <f>Rådatakommune[[#This Row],[Eldre67+-O]]/Rådatakommune[[#This Row],[B16-O]]</f>
        <v>0.13846608541451161</v>
      </c>
      <c r="T95" s="24">
        <f>Rådatakommune[[#This Row],[S15-O]]/Rådatakommune[[#This Row],[S05-O]]-1</f>
        <v>0.24675324675324672</v>
      </c>
      <c r="U95" s="24">
        <f>Rådatakommune[[#This Row],[Y15-O]]/Rådatakommune[[#This Row],[Folk20-64-O]]</f>
        <v>0.8577521324636227</v>
      </c>
    </row>
    <row r="96" spans="1:21" x14ac:dyDescent="0.3">
      <c r="A96" s="2" t="s">
        <v>94</v>
      </c>
      <c r="B96" s="37">
        <v>998</v>
      </c>
      <c r="C96" s="37">
        <v>1074</v>
      </c>
      <c r="D96" s="37">
        <v>532</v>
      </c>
      <c r="E96" s="40">
        <v>225</v>
      </c>
      <c r="F96" s="41">
        <v>111</v>
      </c>
      <c r="G96">
        <v>603</v>
      </c>
      <c r="H96" s="46">
        <v>353</v>
      </c>
      <c r="I96" s="37">
        <v>450</v>
      </c>
      <c r="J96" s="42">
        <v>670.71</v>
      </c>
      <c r="K96" s="5">
        <v>704.41000000000008</v>
      </c>
      <c r="L96" s="37">
        <v>390100</v>
      </c>
      <c r="M96" s="43">
        <v>92.333333333300004</v>
      </c>
      <c r="N96">
        <v>8</v>
      </c>
      <c r="O96" s="36">
        <f>Rådatakommune[[#This Row],[B16-O]]/Rådatakommune[[#This Row],[Landareal2016-O]]</f>
        <v>1.6012881871449658</v>
      </c>
      <c r="P96" s="36">
        <f>Rådatakommune[[#This Row],[B16-O]]/Rådatakommune[[#This Row],[Totalareal2016-O]]</f>
        <v>1.5246802288439969</v>
      </c>
      <c r="Q96" s="38">
        <f>Rådatakommune[[#This Row],[B16-O]]/Rådatakommune[[#This Row],[B06-O]]-1</f>
        <v>7.6152304609218513E-2</v>
      </c>
      <c r="R96" s="24">
        <f>Rådatakommune[[#This Row],[Kvinner20-39-O]]/Rådatakommune[[#This Row],[B16-O]]</f>
        <v>0.10335195530726257</v>
      </c>
      <c r="S96" s="24">
        <f>Rådatakommune[[#This Row],[Eldre67+-O]]/Rådatakommune[[#This Row],[B16-O]]</f>
        <v>0.20949720670391062</v>
      </c>
      <c r="T96" s="24">
        <f>Rådatakommune[[#This Row],[S15-O]]/Rådatakommune[[#This Row],[S05-O]]-1</f>
        <v>0.27478753541076495</v>
      </c>
      <c r="U96" s="24">
        <f>Rådatakommune[[#This Row],[Y15-O]]/Rådatakommune[[#This Row],[Folk20-64-O]]</f>
        <v>0.88225538971807627</v>
      </c>
    </row>
    <row r="97" spans="1:21" x14ac:dyDescent="0.3">
      <c r="A97" s="2" t="s">
        <v>95</v>
      </c>
      <c r="B97" s="37">
        <v>3524</v>
      </c>
      <c r="C97" s="37">
        <v>3422</v>
      </c>
      <c r="D97" s="37">
        <v>1732</v>
      </c>
      <c r="E97" s="40">
        <v>680</v>
      </c>
      <c r="F97" s="41">
        <v>339</v>
      </c>
      <c r="G97">
        <v>1953</v>
      </c>
      <c r="H97" s="46">
        <v>1522</v>
      </c>
      <c r="I97" s="37">
        <v>1386</v>
      </c>
      <c r="J97" s="42">
        <v>771.62</v>
      </c>
      <c r="K97" s="5">
        <v>809.67</v>
      </c>
      <c r="L97" s="37">
        <v>359300</v>
      </c>
      <c r="M97" s="43">
        <v>117.633333333</v>
      </c>
      <c r="N97">
        <v>8</v>
      </c>
      <c r="O97" s="36">
        <f>Rådatakommune[[#This Row],[B16-O]]/Rådatakommune[[#This Row],[Landareal2016-O]]</f>
        <v>4.4348254322075631</v>
      </c>
      <c r="P97" s="36">
        <f>Rådatakommune[[#This Row],[B16-O]]/Rådatakommune[[#This Row],[Totalareal2016-O]]</f>
        <v>4.2264132300813912</v>
      </c>
      <c r="Q97" s="38">
        <f>Rådatakommune[[#This Row],[B16-O]]/Rådatakommune[[#This Row],[B06-O]]-1</f>
        <v>-2.8944381384790052E-2</v>
      </c>
      <c r="R97" s="24">
        <f>Rådatakommune[[#This Row],[Kvinner20-39-O]]/Rådatakommune[[#This Row],[B16-O]]</f>
        <v>9.906487434248977E-2</v>
      </c>
      <c r="S97" s="24">
        <f>Rådatakommune[[#This Row],[Eldre67+-O]]/Rådatakommune[[#This Row],[B16-O]]</f>
        <v>0.19871420222092342</v>
      </c>
      <c r="T97" s="24">
        <f>Rådatakommune[[#This Row],[S15-O]]/Rådatakommune[[#This Row],[S05-O]]-1</f>
        <v>-8.9356110381077491E-2</v>
      </c>
      <c r="U97" s="24">
        <f>Rådatakommune[[#This Row],[Y15-O]]/Rådatakommune[[#This Row],[Folk20-64-O]]</f>
        <v>0.88684075780849969</v>
      </c>
    </row>
    <row r="98" spans="1:21" x14ac:dyDescent="0.3">
      <c r="A98" s="2" t="s">
        <v>96</v>
      </c>
      <c r="B98" s="37">
        <v>4404</v>
      </c>
      <c r="C98" s="37">
        <v>4578</v>
      </c>
      <c r="D98" s="37">
        <v>2431</v>
      </c>
      <c r="E98" s="40">
        <v>857</v>
      </c>
      <c r="F98" s="41">
        <v>496</v>
      </c>
      <c r="G98">
        <v>2573</v>
      </c>
      <c r="H98" s="46">
        <v>2888</v>
      </c>
      <c r="I98" s="37">
        <v>2908</v>
      </c>
      <c r="J98" s="42">
        <v>514.04999999999995</v>
      </c>
      <c r="K98" s="5">
        <v>532.49</v>
      </c>
      <c r="L98" s="37">
        <v>383500</v>
      </c>
      <c r="M98" s="43">
        <v>134.19999999999999</v>
      </c>
      <c r="N98">
        <v>8</v>
      </c>
      <c r="O98" s="36">
        <f>Rådatakommune[[#This Row],[B16-O]]/Rådatakommune[[#This Row],[Landareal2016-O]]</f>
        <v>8.9057484680478556</v>
      </c>
      <c r="P98" s="36">
        <f>Rådatakommune[[#This Row],[B16-O]]/Rådatakommune[[#This Row],[Totalareal2016-O]]</f>
        <v>8.597344551071382</v>
      </c>
      <c r="Q98" s="38">
        <f>Rådatakommune[[#This Row],[B16-O]]/Rådatakommune[[#This Row],[B06-O]]-1</f>
        <v>3.9509536784741117E-2</v>
      </c>
      <c r="R98" s="24">
        <f>Rådatakommune[[#This Row],[Kvinner20-39-O]]/Rådatakommune[[#This Row],[B16-O]]</f>
        <v>0.10834425513324596</v>
      </c>
      <c r="S98" s="24">
        <f>Rådatakommune[[#This Row],[Eldre67+-O]]/Rådatakommune[[#This Row],[B16-O]]</f>
        <v>0.18719965050240281</v>
      </c>
      <c r="T98" s="24">
        <f>Rådatakommune[[#This Row],[S15-O]]/Rådatakommune[[#This Row],[S05-O]]-1</f>
        <v>6.9252077562327319E-3</v>
      </c>
      <c r="U98" s="24">
        <f>Rådatakommune[[#This Row],[Y15-O]]/Rådatakommune[[#This Row],[Folk20-64-O]]</f>
        <v>0.94481150408083947</v>
      </c>
    </row>
    <row r="99" spans="1:21" x14ac:dyDescent="0.3">
      <c r="A99" s="2" t="s">
        <v>97</v>
      </c>
      <c r="B99" s="37">
        <v>1947</v>
      </c>
      <c r="C99" s="37">
        <v>2422</v>
      </c>
      <c r="D99" s="37">
        <v>1298</v>
      </c>
      <c r="E99" s="40">
        <v>314</v>
      </c>
      <c r="F99" s="41">
        <v>319</v>
      </c>
      <c r="G99">
        <v>1471</v>
      </c>
      <c r="H99" s="46">
        <v>1004</v>
      </c>
      <c r="I99" s="37">
        <v>1101</v>
      </c>
      <c r="J99" s="42">
        <v>711.78</v>
      </c>
      <c r="K99" s="5">
        <v>753.54</v>
      </c>
      <c r="L99" s="37">
        <v>379300</v>
      </c>
      <c r="M99" s="43">
        <v>158.98333333299999</v>
      </c>
      <c r="N99">
        <v>8</v>
      </c>
      <c r="O99" s="36">
        <f>Rådatakommune[[#This Row],[B16-O]]/Rådatakommune[[#This Row],[Landareal2016-O]]</f>
        <v>3.4027368006968448</v>
      </c>
      <c r="P99" s="36">
        <f>Rådatakommune[[#This Row],[B16-O]]/Rådatakommune[[#This Row],[Totalareal2016-O]]</f>
        <v>3.2141624863975373</v>
      </c>
      <c r="Q99" s="38">
        <f>Rådatakommune[[#This Row],[B16-O]]/Rådatakommune[[#This Row],[B06-O]]-1</f>
        <v>0.24396507447354909</v>
      </c>
      <c r="R99" s="24">
        <f>Rådatakommune[[#This Row],[Kvinner20-39-O]]/Rådatakommune[[#This Row],[B16-O]]</f>
        <v>0.13170933113129646</v>
      </c>
      <c r="S99" s="24">
        <f>Rådatakommune[[#This Row],[Eldre67+-O]]/Rådatakommune[[#This Row],[B16-O]]</f>
        <v>0.12964492155243601</v>
      </c>
      <c r="T99" s="24">
        <f>Rådatakommune[[#This Row],[S15-O]]/Rådatakommune[[#This Row],[S05-O]]-1</f>
        <v>9.6613545816732982E-2</v>
      </c>
      <c r="U99" s="24">
        <f>Rådatakommune[[#This Row],[Y15-O]]/Rådatakommune[[#This Row],[Folk20-64-O]]</f>
        <v>0.88239292997960572</v>
      </c>
    </row>
    <row r="100" spans="1:21" x14ac:dyDescent="0.3">
      <c r="A100" s="2" t="s">
        <v>98</v>
      </c>
      <c r="B100" s="37">
        <v>4662</v>
      </c>
      <c r="C100" s="37">
        <v>4711</v>
      </c>
      <c r="D100" s="37">
        <v>2431</v>
      </c>
      <c r="E100" s="40">
        <v>879</v>
      </c>
      <c r="F100" s="41">
        <v>435</v>
      </c>
      <c r="G100">
        <v>2581</v>
      </c>
      <c r="H100" s="46">
        <v>2389</v>
      </c>
      <c r="I100" s="37">
        <v>2390</v>
      </c>
      <c r="J100" s="42">
        <v>1081.43</v>
      </c>
      <c r="K100" s="5">
        <v>1174.92</v>
      </c>
      <c r="L100" s="37">
        <v>377000</v>
      </c>
      <c r="M100" s="43">
        <v>152.15</v>
      </c>
      <c r="N100">
        <v>8</v>
      </c>
      <c r="O100" s="36">
        <f>Rådatakommune[[#This Row],[B16-O]]/Rådatakommune[[#This Row],[Landareal2016-O]]</f>
        <v>4.3562690141756741</v>
      </c>
      <c r="P100" s="36">
        <f>Rådatakommune[[#This Row],[B16-O]]/Rådatakommune[[#This Row],[Totalareal2016-O]]</f>
        <v>4.0096346985326656</v>
      </c>
      <c r="Q100" s="38">
        <f>Rådatakommune[[#This Row],[B16-O]]/Rådatakommune[[#This Row],[B06-O]]-1</f>
        <v>1.0510510510510551E-2</v>
      </c>
      <c r="R100" s="24">
        <f>Rådatakommune[[#This Row],[Kvinner20-39-O]]/Rådatakommune[[#This Row],[B16-O]]</f>
        <v>9.2337083421778821E-2</v>
      </c>
      <c r="S100" s="24">
        <f>Rådatakommune[[#This Row],[Eldre67+-O]]/Rådatakommune[[#This Row],[B16-O]]</f>
        <v>0.18658458925918064</v>
      </c>
      <c r="T100" s="24">
        <f>Rådatakommune[[#This Row],[S15-O]]/Rådatakommune[[#This Row],[S05-O]]-1</f>
        <v>4.185851820845965E-4</v>
      </c>
      <c r="U100" s="24">
        <f>Rådatakommune[[#This Row],[Y15-O]]/Rådatakommune[[#This Row],[Folk20-64-O]]</f>
        <v>0.94188299108872531</v>
      </c>
    </row>
    <row r="101" spans="1:21" x14ac:dyDescent="0.3">
      <c r="A101" s="2" t="s">
        <v>99</v>
      </c>
      <c r="B101" s="37">
        <v>4500</v>
      </c>
      <c r="C101" s="37">
        <v>4497</v>
      </c>
      <c r="D101" s="37">
        <v>2445</v>
      </c>
      <c r="E101" s="40">
        <v>829</v>
      </c>
      <c r="F101" s="41">
        <v>537</v>
      </c>
      <c r="G101">
        <v>2644</v>
      </c>
      <c r="H101" s="46">
        <v>2230</v>
      </c>
      <c r="I101" s="37">
        <v>2218</v>
      </c>
      <c r="J101" s="42">
        <v>1653.41</v>
      </c>
      <c r="K101" s="5">
        <v>1854.6200000000001</v>
      </c>
      <c r="L101" s="37">
        <v>399900</v>
      </c>
      <c r="M101" s="43">
        <v>166.68333333300001</v>
      </c>
      <c r="N101">
        <v>8</v>
      </c>
      <c r="O101" s="36">
        <f>Rådatakommune[[#This Row],[B16-O]]/Rådatakommune[[#This Row],[Landareal2016-O]]</f>
        <v>2.7198335561052609</v>
      </c>
      <c r="P101" s="36">
        <f>Rådatakommune[[#This Row],[B16-O]]/Rådatakommune[[#This Row],[Totalareal2016-O]]</f>
        <v>2.4247554755151999</v>
      </c>
      <c r="Q101" s="38">
        <f>Rådatakommune[[#This Row],[B16-O]]/Rådatakommune[[#This Row],[B06-O]]-1</f>
        <v>-6.6666666666670427E-4</v>
      </c>
      <c r="R101" s="24">
        <f>Rådatakommune[[#This Row],[Kvinner20-39-O]]/Rådatakommune[[#This Row],[B16-O]]</f>
        <v>0.11941294196130754</v>
      </c>
      <c r="S101" s="24">
        <f>Rådatakommune[[#This Row],[Eldre67+-O]]/Rådatakommune[[#This Row],[B16-O]]</f>
        <v>0.18434511896820102</v>
      </c>
      <c r="T101" s="24">
        <f>Rådatakommune[[#This Row],[S15-O]]/Rådatakommune[[#This Row],[S05-O]]-1</f>
        <v>-5.3811659192825045E-3</v>
      </c>
      <c r="U101" s="24">
        <f>Rådatakommune[[#This Row],[Y15-O]]/Rådatakommune[[#This Row],[Folk20-64-O]]</f>
        <v>0.92473524962178522</v>
      </c>
    </row>
    <row r="102" spans="1:21" x14ac:dyDescent="0.3">
      <c r="A102" s="2" t="s">
        <v>100</v>
      </c>
      <c r="B102" s="37">
        <v>3501</v>
      </c>
      <c r="C102" s="37">
        <v>3512</v>
      </c>
      <c r="D102" s="37">
        <v>1860</v>
      </c>
      <c r="E102" s="40">
        <v>654</v>
      </c>
      <c r="F102" s="41">
        <v>329</v>
      </c>
      <c r="G102">
        <v>1962</v>
      </c>
      <c r="H102" s="46">
        <v>1461</v>
      </c>
      <c r="I102" s="37">
        <v>1515</v>
      </c>
      <c r="J102" s="42">
        <v>811.2</v>
      </c>
      <c r="K102" s="5">
        <v>842.28000000000009</v>
      </c>
      <c r="L102" s="37">
        <v>386000</v>
      </c>
      <c r="M102" s="43">
        <v>80.266666666700004</v>
      </c>
      <c r="N102">
        <v>2</v>
      </c>
      <c r="O102" s="36">
        <f>Rådatakommune[[#This Row],[B16-O]]/Rådatakommune[[#This Row],[Landareal2016-O]]</f>
        <v>4.3293885601577911</v>
      </c>
      <c r="P102" s="36">
        <f>Rådatakommune[[#This Row],[B16-O]]/Rådatakommune[[#This Row],[Totalareal2016-O]]</f>
        <v>4.1696348007788382</v>
      </c>
      <c r="Q102" s="38">
        <f>Rådatakommune[[#This Row],[B16-O]]/Rådatakommune[[#This Row],[B06-O]]-1</f>
        <v>3.141959440160047E-3</v>
      </c>
      <c r="R102" s="24">
        <f>Rådatakommune[[#This Row],[Kvinner20-39-O]]/Rådatakommune[[#This Row],[B16-O]]</f>
        <v>9.3678815489749434E-2</v>
      </c>
      <c r="S102" s="24">
        <f>Rådatakommune[[#This Row],[Eldre67+-O]]/Rådatakommune[[#This Row],[B16-O]]</f>
        <v>0.18621867881548976</v>
      </c>
      <c r="T102" s="24">
        <f>Rådatakommune[[#This Row],[S15-O]]/Rådatakommune[[#This Row],[S05-O]]-1</f>
        <v>3.696098562628336E-2</v>
      </c>
      <c r="U102" s="24">
        <f>Rådatakommune[[#This Row],[Y15-O]]/Rådatakommune[[#This Row],[Folk20-64-O]]</f>
        <v>0.94801223241590216</v>
      </c>
    </row>
    <row r="103" spans="1:21" x14ac:dyDescent="0.3">
      <c r="A103" s="2" t="s">
        <v>101</v>
      </c>
      <c r="B103" s="37">
        <v>2127</v>
      </c>
      <c r="C103" s="37">
        <v>2275</v>
      </c>
      <c r="D103" s="37">
        <v>1150</v>
      </c>
      <c r="E103" s="40">
        <v>390</v>
      </c>
      <c r="F103" s="41">
        <v>263</v>
      </c>
      <c r="G103">
        <v>1330</v>
      </c>
      <c r="H103" s="46">
        <v>860</v>
      </c>
      <c r="I103" s="37">
        <v>1036</v>
      </c>
      <c r="J103" s="42">
        <v>339.78</v>
      </c>
      <c r="K103" s="5">
        <v>374.51</v>
      </c>
      <c r="L103" s="37">
        <v>394000</v>
      </c>
      <c r="M103" s="43">
        <v>79.666666666699996</v>
      </c>
      <c r="N103">
        <v>5</v>
      </c>
      <c r="O103" s="36">
        <f>Rådatakommune[[#This Row],[B16-O]]/Rådatakommune[[#This Row],[Landareal2016-O]]</f>
        <v>6.6955088586732598</v>
      </c>
      <c r="P103" s="36">
        <f>Rådatakommune[[#This Row],[B16-O]]/Rådatakommune[[#This Row],[Totalareal2016-O]]</f>
        <v>6.0746041494219112</v>
      </c>
      <c r="Q103" s="38">
        <f>Rådatakommune[[#This Row],[B16-O]]/Rådatakommune[[#This Row],[B06-O]]-1</f>
        <v>6.9581570286788796E-2</v>
      </c>
      <c r="R103" s="24">
        <f>Rådatakommune[[#This Row],[Kvinner20-39-O]]/Rådatakommune[[#This Row],[B16-O]]</f>
        <v>0.1156043956043956</v>
      </c>
      <c r="S103" s="24">
        <f>Rådatakommune[[#This Row],[Eldre67+-O]]/Rådatakommune[[#This Row],[B16-O]]</f>
        <v>0.17142857142857143</v>
      </c>
      <c r="T103" s="24">
        <f>Rådatakommune[[#This Row],[S15-O]]/Rådatakommune[[#This Row],[S05-O]]-1</f>
        <v>0.20465116279069773</v>
      </c>
      <c r="U103" s="24">
        <f>Rådatakommune[[#This Row],[Y15-O]]/Rådatakommune[[#This Row],[Folk20-64-O]]</f>
        <v>0.86466165413533835</v>
      </c>
    </row>
    <row r="104" spans="1:21" x14ac:dyDescent="0.3">
      <c r="A104" s="2" t="s">
        <v>102</v>
      </c>
      <c r="B104" s="37">
        <v>12585</v>
      </c>
      <c r="C104" s="37">
        <v>13794</v>
      </c>
      <c r="D104" s="37">
        <v>6597</v>
      </c>
      <c r="E104" s="40">
        <v>2276</v>
      </c>
      <c r="F104" s="41">
        <v>1559</v>
      </c>
      <c r="G104">
        <v>8048</v>
      </c>
      <c r="H104" s="46">
        <v>5189</v>
      </c>
      <c r="I104" s="37">
        <v>5199</v>
      </c>
      <c r="J104" s="42">
        <v>463.13</v>
      </c>
      <c r="K104" s="5">
        <v>517.17999999999995</v>
      </c>
      <c r="L104" s="37">
        <v>374800</v>
      </c>
      <c r="M104" s="43">
        <v>64.316666666700002</v>
      </c>
      <c r="N104">
        <v>2</v>
      </c>
      <c r="O104" s="36">
        <f>Rådatakommune[[#This Row],[B16-O]]/Rådatakommune[[#This Row],[Landareal2016-O]]</f>
        <v>29.784293826787295</v>
      </c>
      <c r="P104" s="36">
        <f>Rådatakommune[[#This Row],[B16-O]]/Rådatakommune[[#This Row],[Totalareal2016-O]]</f>
        <v>26.671565025716387</v>
      </c>
      <c r="Q104" s="38">
        <f>Rådatakommune[[#This Row],[B16-O]]/Rådatakommune[[#This Row],[B06-O]]-1</f>
        <v>9.6066746126340918E-2</v>
      </c>
      <c r="R104" s="24">
        <f>Rådatakommune[[#This Row],[Kvinner20-39-O]]/Rådatakommune[[#This Row],[B16-O]]</f>
        <v>0.11302015369001014</v>
      </c>
      <c r="S104" s="24">
        <f>Rådatakommune[[#This Row],[Eldre67+-O]]/Rådatakommune[[#This Row],[B16-O]]</f>
        <v>0.16499927504712195</v>
      </c>
      <c r="T104" s="24">
        <f>Rådatakommune[[#This Row],[S15-O]]/Rådatakommune[[#This Row],[S05-O]]-1</f>
        <v>1.9271535941414175E-3</v>
      </c>
      <c r="U104" s="24">
        <f>Rådatakommune[[#This Row],[Y15-O]]/Rådatakommune[[#This Row],[Folk20-64-O]]</f>
        <v>0.81970675944333993</v>
      </c>
    </row>
    <row r="105" spans="1:21" x14ac:dyDescent="0.3">
      <c r="A105" s="2" t="s">
        <v>103</v>
      </c>
      <c r="B105" s="37">
        <v>15825</v>
      </c>
      <c r="C105" s="37">
        <v>18205</v>
      </c>
      <c r="D105" s="37">
        <v>8993</v>
      </c>
      <c r="E105" s="40">
        <v>2664</v>
      </c>
      <c r="F105" s="41">
        <v>2193</v>
      </c>
      <c r="G105">
        <v>10701</v>
      </c>
      <c r="H105" s="46">
        <v>5388</v>
      </c>
      <c r="I105" s="37">
        <v>6380</v>
      </c>
      <c r="J105" s="42">
        <v>417.91</v>
      </c>
      <c r="K105" s="5">
        <v>456.69000000000005</v>
      </c>
      <c r="L105" s="37">
        <v>394000</v>
      </c>
      <c r="M105" s="43">
        <v>44.916666666700003</v>
      </c>
      <c r="N105">
        <v>2</v>
      </c>
      <c r="O105" s="36">
        <f>Rådatakommune[[#This Row],[B16-O]]/Rådatakommune[[#This Row],[Landareal2016-O]]</f>
        <v>43.562010959297453</v>
      </c>
      <c r="P105" s="36">
        <f>Rådatakommune[[#This Row],[B16-O]]/Rådatakommune[[#This Row],[Totalareal2016-O]]</f>
        <v>39.862926711773845</v>
      </c>
      <c r="Q105" s="38">
        <f>Rådatakommune[[#This Row],[B16-O]]/Rådatakommune[[#This Row],[B06-O]]-1</f>
        <v>0.15039494470774084</v>
      </c>
      <c r="R105" s="24">
        <f>Rådatakommune[[#This Row],[Kvinner20-39-O]]/Rådatakommune[[#This Row],[B16-O]]</f>
        <v>0.1204614117000824</v>
      </c>
      <c r="S105" s="24">
        <f>Rådatakommune[[#This Row],[Eldre67+-O]]/Rådatakommune[[#This Row],[B16-O]]</f>
        <v>0.14633342488327383</v>
      </c>
      <c r="T105" s="24">
        <f>Rådatakommune[[#This Row],[S15-O]]/Rådatakommune[[#This Row],[S05-O]]-1</f>
        <v>0.18411284335560496</v>
      </c>
      <c r="U105" s="24">
        <f>Rådatakommune[[#This Row],[Y15-O]]/Rådatakommune[[#This Row],[Folk20-64-O]]</f>
        <v>0.84038874871507341</v>
      </c>
    </row>
    <row r="106" spans="1:21" x14ac:dyDescent="0.3">
      <c r="A106" s="2" t="s">
        <v>104</v>
      </c>
      <c r="B106" s="37">
        <v>21653</v>
      </c>
      <c r="C106" s="37">
        <v>24431</v>
      </c>
      <c r="D106" s="37">
        <v>11943</v>
      </c>
      <c r="E106" s="40">
        <v>3235</v>
      </c>
      <c r="F106" s="41">
        <v>3080</v>
      </c>
      <c r="G106">
        <v>14463</v>
      </c>
      <c r="H106" s="46">
        <v>6265</v>
      </c>
      <c r="I106" s="37">
        <v>7191</v>
      </c>
      <c r="J106" s="42">
        <v>114.07</v>
      </c>
      <c r="K106" s="5">
        <v>121.75999999999999</v>
      </c>
      <c r="L106" s="37">
        <v>396500</v>
      </c>
      <c r="M106" s="43">
        <v>39.316666666700002</v>
      </c>
      <c r="N106">
        <v>2</v>
      </c>
      <c r="O106" s="36">
        <f>Rådatakommune[[#This Row],[B16-O]]/Rådatakommune[[#This Row],[Landareal2016-O]]</f>
        <v>214.17550626808102</v>
      </c>
      <c r="P106" s="36">
        <f>Rådatakommune[[#This Row],[B16-O]]/Rådatakommune[[#This Row],[Totalareal2016-O]]</f>
        <v>200.64881734559791</v>
      </c>
      <c r="Q106" s="38">
        <f>Rådatakommune[[#This Row],[B16-O]]/Rådatakommune[[#This Row],[B06-O]]-1</f>
        <v>0.1282963099801413</v>
      </c>
      <c r="R106" s="24">
        <f>Rådatakommune[[#This Row],[Kvinner20-39-O]]/Rådatakommune[[#This Row],[B16-O]]</f>
        <v>0.12606933813597479</v>
      </c>
      <c r="S106" s="24">
        <f>Rådatakommune[[#This Row],[Eldre67+-O]]/Rådatakommune[[#This Row],[B16-O]]</f>
        <v>0.13241373664606443</v>
      </c>
      <c r="T106" s="24">
        <f>Rådatakommune[[#This Row],[S15-O]]/Rådatakommune[[#This Row],[S05-O]]-1</f>
        <v>0.14780526735833988</v>
      </c>
      <c r="U106" s="24">
        <f>Rådatakommune[[#This Row],[Y15-O]]/Rådatakommune[[#This Row],[Folk20-64-O]]</f>
        <v>0.82576228998133172</v>
      </c>
    </row>
    <row r="107" spans="1:21" x14ac:dyDescent="0.3">
      <c r="A107" s="2" t="s">
        <v>105</v>
      </c>
      <c r="B107" s="37">
        <v>21874</v>
      </c>
      <c r="C107" s="37">
        <v>25731</v>
      </c>
      <c r="D107" s="37">
        <v>12992</v>
      </c>
      <c r="E107" s="40">
        <v>3512</v>
      </c>
      <c r="F107" s="41">
        <v>3038</v>
      </c>
      <c r="G107">
        <v>15057</v>
      </c>
      <c r="H107" s="46">
        <v>10727</v>
      </c>
      <c r="I107" s="37">
        <v>13251</v>
      </c>
      <c r="J107" s="42">
        <v>281.87</v>
      </c>
      <c r="K107" s="5">
        <v>301.60000000000002</v>
      </c>
      <c r="L107" s="37">
        <v>456400</v>
      </c>
      <c r="M107" s="43">
        <v>28.833333333300001</v>
      </c>
      <c r="N107">
        <v>2</v>
      </c>
      <c r="O107" s="36">
        <f>Rådatakommune[[#This Row],[B16-O]]/Rådatakommune[[#This Row],[Landareal2016-O]]</f>
        <v>91.286763401568095</v>
      </c>
      <c r="P107" s="36">
        <f>Rådatakommune[[#This Row],[B16-O]]/Rådatakommune[[#This Row],[Totalareal2016-O]]</f>
        <v>85.314986737400531</v>
      </c>
      <c r="Q107" s="38">
        <f>Rådatakommune[[#This Row],[B16-O]]/Rådatakommune[[#This Row],[B06-O]]-1</f>
        <v>0.17632806071134688</v>
      </c>
      <c r="R107" s="24">
        <f>Rådatakommune[[#This Row],[Kvinner20-39-O]]/Rådatakommune[[#This Row],[B16-O]]</f>
        <v>0.11806770043915898</v>
      </c>
      <c r="S107" s="24">
        <f>Rådatakommune[[#This Row],[Eldre67+-O]]/Rådatakommune[[#This Row],[B16-O]]</f>
        <v>0.13648905988885002</v>
      </c>
      <c r="T107" s="24">
        <f>Rådatakommune[[#This Row],[S15-O]]/Rådatakommune[[#This Row],[S05-O]]-1</f>
        <v>0.23529411764705888</v>
      </c>
      <c r="U107" s="24">
        <f>Rådatakommune[[#This Row],[Y15-O]]/Rådatakommune[[#This Row],[Folk20-64-O]]</f>
        <v>0.86285448628544859</v>
      </c>
    </row>
    <row r="108" spans="1:21" x14ac:dyDescent="0.3">
      <c r="A108" s="2" t="s">
        <v>106</v>
      </c>
      <c r="B108" s="37">
        <v>17594</v>
      </c>
      <c r="C108" s="37">
        <v>21492</v>
      </c>
      <c r="D108" s="37">
        <v>11068</v>
      </c>
      <c r="E108" s="40">
        <v>2672</v>
      </c>
      <c r="F108" s="41">
        <v>2507</v>
      </c>
      <c r="G108">
        <v>12603</v>
      </c>
      <c r="H108" s="46">
        <v>4701</v>
      </c>
      <c r="I108" s="37">
        <v>5533</v>
      </c>
      <c r="J108" s="42">
        <v>111.26</v>
      </c>
      <c r="K108" s="5">
        <v>112.63000000000001</v>
      </c>
      <c r="L108" s="37">
        <v>452100</v>
      </c>
      <c r="M108" s="43">
        <v>26.433333333299998</v>
      </c>
      <c r="N108">
        <v>1</v>
      </c>
      <c r="O108" s="36">
        <f>Rådatakommune[[#This Row],[B16-O]]/Rådatakommune[[#This Row],[Landareal2016-O]]</f>
        <v>193.16915333453173</v>
      </c>
      <c r="P108" s="36">
        <f>Rådatakommune[[#This Row],[B16-O]]/Rådatakommune[[#This Row],[Totalareal2016-O]]</f>
        <v>190.81949746959069</v>
      </c>
      <c r="Q108" s="38">
        <f>Rådatakommune[[#This Row],[B16-O]]/Rådatakommune[[#This Row],[B06-O]]-1</f>
        <v>0.2215528020916222</v>
      </c>
      <c r="R108" s="24">
        <f>Rådatakommune[[#This Row],[Kvinner20-39-O]]/Rådatakommune[[#This Row],[B16-O]]</f>
        <v>0.11664805509026614</v>
      </c>
      <c r="S108" s="24">
        <f>Rådatakommune[[#This Row],[Eldre67+-O]]/Rådatakommune[[#This Row],[B16-O]]</f>
        <v>0.12432533035548111</v>
      </c>
      <c r="T108" s="24">
        <f>Rådatakommune[[#This Row],[S15-O]]/Rådatakommune[[#This Row],[S05-O]]-1</f>
        <v>0.17698362050627536</v>
      </c>
      <c r="U108" s="24">
        <f>Rådatakommune[[#This Row],[Y15-O]]/Rådatakommune[[#This Row],[Folk20-64-O]]</f>
        <v>0.87820360231690864</v>
      </c>
    </row>
    <row r="109" spans="1:21" x14ac:dyDescent="0.3">
      <c r="A109" s="2" t="s">
        <v>107</v>
      </c>
      <c r="B109" s="37">
        <v>8913</v>
      </c>
      <c r="C109" s="37">
        <v>9413</v>
      </c>
      <c r="D109" s="37">
        <v>4459</v>
      </c>
      <c r="E109" s="40">
        <v>1618</v>
      </c>
      <c r="F109" s="41">
        <v>942</v>
      </c>
      <c r="G109">
        <v>5324</v>
      </c>
      <c r="H109" s="46">
        <v>2800</v>
      </c>
      <c r="I109" s="37">
        <v>2525</v>
      </c>
      <c r="J109" s="42">
        <v>156.34</v>
      </c>
      <c r="K109" s="5">
        <v>163.26</v>
      </c>
      <c r="L109" s="37">
        <v>412000</v>
      </c>
      <c r="M109" s="43">
        <v>50.016666666699997</v>
      </c>
      <c r="N109">
        <v>1</v>
      </c>
      <c r="O109" s="36">
        <f>Rådatakommune[[#This Row],[B16-O]]/Rådatakommune[[#This Row],[Landareal2016-O]]</f>
        <v>60.208519892541894</v>
      </c>
      <c r="P109" s="36">
        <f>Rådatakommune[[#This Row],[B16-O]]/Rådatakommune[[#This Row],[Totalareal2016-O]]</f>
        <v>57.65649883621218</v>
      </c>
      <c r="Q109" s="38">
        <f>Rådatakommune[[#This Row],[B16-O]]/Rådatakommune[[#This Row],[B06-O]]-1</f>
        <v>5.609783462358342E-2</v>
      </c>
      <c r="R109" s="24">
        <f>Rådatakommune[[#This Row],[Kvinner20-39-O]]/Rådatakommune[[#This Row],[B16-O]]</f>
        <v>0.10007436523956231</v>
      </c>
      <c r="S109" s="24">
        <f>Rådatakommune[[#This Row],[Eldre67+-O]]/Rådatakommune[[#This Row],[B16-O]]</f>
        <v>0.17188993944544778</v>
      </c>
      <c r="T109" s="24">
        <f>Rådatakommune[[#This Row],[S15-O]]/Rådatakommune[[#This Row],[S05-O]]-1</f>
        <v>-9.8214285714285698E-2</v>
      </c>
      <c r="U109" s="24">
        <f>Rådatakommune[[#This Row],[Y15-O]]/Rådatakommune[[#This Row],[Folk20-64-O]]</f>
        <v>0.83752817430503379</v>
      </c>
    </row>
    <row r="110" spans="1:21" x14ac:dyDescent="0.3">
      <c r="A110" s="2" t="s">
        <v>108</v>
      </c>
      <c r="B110" s="37">
        <v>2529</v>
      </c>
      <c r="C110" s="37">
        <v>2699</v>
      </c>
      <c r="D110" s="37">
        <v>1407</v>
      </c>
      <c r="E110" s="40">
        <v>455</v>
      </c>
      <c r="F110" s="41">
        <v>287</v>
      </c>
      <c r="G110">
        <v>1500</v>
      </c>
      <c r="H110" s="46">
        <v>774</v>
      </c>
      <c r="I110" s="37">
        <v>788</v>
      </c>
      <c r="J110" s="42">
        <v>537.78</v>
      </c>
      <c r="K110" s="5">
        <v>561.91</v>
      </c>
      <c r="L110" s="37">
        <v>401000</v>
      </c>
      <c r="M110" s="43">
        <v>75.766666666700004</v>
      </c>
      <c r="N110">
        <v>5</v>
      </c>
      <c r="O110" s="36">
        <f>Rådatakommune[[#This Row],[B16-O]]/Rådatakommune[[#This Row],[Landareal2016-O]]</f>
        <v>5.0187809141284543</v>
      </c>
      <c r="P110" s="36">
        <f>Rådatakommune[[#This Row],[B16-O]]/Rådatakommune[[#This Row],[Totalareal2016-O]]</f>
        <v>4.8032603085903443</v>
      </c>
      <c r="Q110" s="38">
        <f>Rådatakommune[[#This Row],[B16-O]]/Rådatakommune[[#This Row],[B06-O]]-1</f>
        <v>6.7220245156188296E-2</v>
      </c>
      <c r="R110" s="24">
        <f>Rådatakommune[[#This Row],[Kvinner20-39-O]]/Rådatakommune[[#This Row],[B16-O]]</f>
        <v>0.10633567988143756</v>
      </c>
      <c r="S110" s="24">
        <f>Rådatakommune[[#This Row],[Eldre67+-O]]/Rådatakommune[[#This Row],[B16-O]]</f>
        <v>0.16858095590959615</v>
      </c>
      <c r="T110" s="24">
        <f>Rådatakommune[[#This Row],[S15-O]]/Rådatakommune[[#This Row],[S05-O]]-1</f>
        <v>1.8087855297157729E-2</v>
      </c>
      <c r="U110" s="24">
        <f>Rådatakommune[[#This Row],[Y15-O]]/Rådatakommune[[#This Row],[Folk20-64-O]]</f>
        <v>0.93799999999999994</v>
      </c>
    </row>
    <row r="111" spans="1:21" x14ac:dyDescent="0.3">
      <c r="A111" s="2" t="s">
        <v>109</v>
      </c>
      <c r="B111" s="37">
        <v>1414</v>
      </c>
      <c r="C111" s="37">
        <v>1404</v>
      </c>
      <c r="D111" s="37">
        <v>709</v>
      </c>
      <c r="E111" s="40">
        <v>298</v>
      </c>
      <c r="F111" s="41">
        <v>131</v>
      </c>
      <c r="G111">
        <v>755</v>
      </c>
      <c r="H111" s="46">
        <v>579</v>
      </c>
      <c r="I111" s="37">
        <v>667</v>
      </c>
      <c r="J111" s="42">
        <v>429.81</v>
      </c>
      <c r="K111" s="5">
        <v>449.29</v>
      </c>
      <c r="L111" s="37">
        <v>372500</v>
      </c>
      <c r="M111" s="43">
        <v>96.466666666699993</v>
      </c>
      <c r="N111">
        <v>5</v>
      </c>
      <c r="O111" s="36">
        <f>Rådatakommune[[#This Row],[B16-O]]/Rådatakommune[[#This Row],[Landareal2016-O]]</f>
        <v>3.2665596426327914</v>
      </c>
      <c r="P111" s="36">
        <f>Rådatakommune[[#This Row],[B16-O]]/Rådatakommune[[#This Row],[Totalareal2016-O]]</f>
        <v>3.1249304458145071</v>
      </c>
      <c r="Q111" s="38">
        <f>Rådatakommune[[#This Row],[B16-O]]/Rådatakommune[[#This Row],[B06-O]]-1</f>
        <v>-7.0721357850070943E-3</v>
      </c>
      <c r="R111" s="24">
        <f>Rådatakommune[[#This Row],[Kvinner20-39-O]]/Rådatakommune[[#This Row],[B16-O]]</f>
        <v>9.3304843304843302E-2</v>
      </c>
      <c r="S111" s="24">
        <f>Rådatakommune[[#This Row],[Eldre67+-O]]/Rådatakommune[[#This Row],[B16-O]]</f>
        <v>0.21225071225071226</v>
      </c>
      <c r="T111" s="24">
        <f>Rådatakommune[[#This Row],[S15-O]]/Rådatakommune[[#This Row],[S05-O]]-1</f>
        <v>0.15198618307426592</v>
      </c>
      <c r="U111" s="24">
        <f>Rådatakommune[[#This Row],[Y15-O]]/Rådatakommune[[#This Row],[Folk20-64-O]]</f>
        <v>0.93907284768211918</v>
      </c>
    </row>
    <row r="112" spans="1:21" x14ac:dyDescent="0.3">
      <c r="A112" s="2" t="s">
        <v>110</v>
      </c>
      <c r="B112" s="37">
        <v>2597</v>
      </c>
      <c r="C112" s="37">
        <v>2548</v>
      </c>
      <c r="D112" s="37">
        <v>1401</v>
      </c>
      <c r="E112" s="40">
        <v>501</v>
      </c>
      <c r="F112" s="41">
        <v>222</v>
      </c>
      <c r="G112">
        <v>1415</v>
      </c>
      <c r="H112" s="46">
        <v>1260</v>
      </c>
      <c r="I112" s="37">
        <v>1277</v>
      </c>
      <c r="J112" s="42">
        <v>2265.88</v>
      </c>
      <c r="K112" s="5">
        <v>2502.29</v>
      </c>
      <c r="L112" s="37">
        <v>357400</v>
      </c>
      <c r="M112" s="43">
        <v>130.76666666700001</v>
      </c>
      <c r="N112">
        <v>11</v>
      </c>
      <c r="O112" s="36">
        <f>Rådatakommune[[#This Row],[B16-O]]/Rådatakommune[[#This Row],[Landareal2016-O]]</f>
        <v>1.1245079174537045</v>
      </c>
      <c r="P112" s="36">
        <f>Rådatakommune[[#This Row],[B16-O]]/Rådatakommune[[#This Row],[Totalareal2016-O]]</f>
        <v>1.0182672671832602</v>
      </c>
      <c r="Q112" s="38">
        <f>Rådatakommune[[#This Row],[B16-O]]/Rådatakommune[[#This Row],[B06-O]]-1</f>
        <v>-1.8867924528301883E-2</v>
      </c>
      <c r="R112" s="24">
        <f>Rådatakommune[[#This Row],[Kvinner20-39-O]]/Rådatakommune[[#This Row],[B16-O]]</f>
        <v>8.7127158555729986E-2</v>
      </c>
      <c r="S112" s="24">
        <f>Rådatakommune[[#This Row],[Eldre67+-O]]/Rådatakommune[[#This Row],[B16-O]]</f>
        <v>0.19662480376766092</v>
      </c>
      <c r="T112" s="24">
        <f>Rådatakommune[[#This Row],[S15-O]]/Rådatakommune[[#This Row],[S05-O]]-1</f>
        <v>1.3492063492063444E-2</v>
      </c>
      <c r="U112" s="24">
        <f>Rådatakommune[[#This Row],[Y15-O]]/Rådatakommune[[#This Row],[Folk20-64-O]]</f>
        <v>0.99010600706713781</v>
      </c>
    </row>
    <row r="113" spans="1:21" x14ac:dyDescent="0.3">
      <c r="A113" s="2" t="s">
        <v>111</v>
      </c>
      <c r="B113" s="37">
        <v>24871</v>
      </c>
      <c r="C113" s="37">
        <v>27178</v>
      </c>
      <c r="D113" s="37">
        <v>12234</v>
      </c>
      <c r="E113" s="40">
        <v>4436</v>
      </c>
      <c r="F113" s="41">
        <v>3089</v>
      </c>
      <c r="G113">
        <v>15730</v>
      </c>
      <c r="H113" s="46">
        <v>9901</v>
      </c>
      <c r="I113" s="37">
        <v>11001</v>
      </c>
      <c r="J113" s="42">
        <v>68.510000000000005</v>
      </c>
      <c r="K113" s="5">
        <v>70.37</v>
      </c>
      <c r="L113" s="37">
        <v>381200</v>
      </c>
      <c r="M113" s="43">
        <v>63.3</v>
      </c>
      <c r="N113">
        <v>2</v>
      </c>
      <c r="O113" s="36">
        <f>Rådatakommune[[#This Row],[B16-O]]/Rådatakommune[[#This Row],[Landareal2016-O]]</f>
        <v>396.70121150197048</v>
      </c>
      <c r="P113" s="36">
        <f>Rådatakommune[[#This Row],[B16-O]]/Rådatakommune[[#This Row],[Totalareal2016-O]]</f>
        <v>386.21571692482587</v>
      </c>
      <c r="Q113" s="38">
        <f>Rådatakommune[[#This Row],[B16-O]]/Rådatakommune[[#This Row],[B06-O]]-1</f>
        <v>9.2758634554300112E-2</v>
      </c>
      <c r="R113" s="24">
        <f>Rådatakommune[[#This Row],[Kvinner20-39-O]]/Rådatakommune[[#This Row],[B16-O]]</f>
        <v>0.11365810582088454</v>
      </c>
      <c r="S113" s="24">
        <f>Rådatakommune[[#This Row],[Eldre67+-O]]/Rådatakommune[[#This Row],[B16-O]]</f>
        <v>0.16322025167414822</v>
      </c>
      <c r="T113" s="24">
        <f>Rådatakommune[[#This Row],[S15-O]]/Rådatakommune[[#This Row],[S05-O]]-1</f>
        <v>0.11109988890011113</v>
      </c>
      <c r="U113" s="24">
        <f>Rådatakommune[[#This Row],[Y15-O]]/Rådatakommune[[#This Row],[Folk20-64-O]]</f>
        <v>0.77774952320406865</v>
      </c>
    </row>
    <row r="114" spans="1:21" x14ac:dyDescent="0.3">
      <c r="A114" s="2" t="s">
        <v>112</v>
      </c>
      <c r="B114" s="37">
        <v>9654</v>
      </c>
      <c r="C114" s="37">
        <v>10741</v>
      </c>
      <c r="D114" s="37">
        <v>5046</v>
      </c>
      <c r="E114" s="40">
        <v>1787</v>
      </c>
      <c r="F114" s="41">
        <v>1265</v>
      </c>
      <c r="G114">
        <v>6227</v>
      </c>
      <c r="H114" s="46">
        <v>3841</v>
      </c>
      <c r="I114" s="37">
        <v>3858</v>
      </c>
      <c r="J114" s="42">
        <v>84.22</v>
      </c>
      <c r="K114" s="5">
        <v>86.06</v>
      </c>
      <c r="L114" s="37">
        <v>397200</v>
      </c>
      <c r="M114" s="43">
        <v>52.75</v>
      </c>
      <c r="N114">
        <v>2</v>
      </c>
      <c r="O114" s="36">
        <f>Rådatakommune[[#This Row],[B16-O]]/Rådatakommune[[#This Row],[Landareal2016-O]]</f>
        <v>127.53502730942769</v>
      </c>
      <c r="P114" s="36">
        <f>Rådatakommune[[#This Row],[B16-O]]/Rådatakommune[[#This Row],[Totalareal2016-O]]</f>
        <v>124.80827329769927</v>
      </c>
      <c r="Q114" s="38">
        <f>Rådatakommune[[#This Row],[B16-O]]/Rådatakommune[[#This Row],[B06-O]]-1</f>
        <v>0.11259581520613215</v>
      </c>
      <c r="R114" s="24">
        <f>Rådatakommune[[#This Row],[Kvinner20-39-O]]/Rådatakommune[[#This Row],[B16-O]]</f>
        <v>0.11777301927194861</v>
      </c>
      <c r="S114" s="24">
        <f>Rådatakommune[[#This Row],[Eldre67+-O]]/Rådatakommune[[#This Row],[B16-O]]</f>
        <v>0.16637184619681594</v>
      </c>
      <c r="T114" s="24">
        <f>Rådatakommune[[#This Row],[S15-O]]/Rådatakommune[[#This Row],[S05-O]]-1</f>
        <v>4.4259307472012122E-3</v>
      </c>
      <c r="U114" s="24">
        <f>Rådatakommune[[#This Row],[Y15-O]]/Rådatakommune[[#This Row],[Folk20-64-O]]</f>
        <v>0.81034205877629673</v>
      </c>
    </row>
    <row r="115" spans="1:21" x14ac:dyDescent="0.3">
      <c r="A115" s="2" t="s">
        <v>113</v>
      </c>
      <c r="B115" s="37">
        <v>36919</v>
      </c>
      <c r="C115" s="37">
        <v>42276</v>
      </c>
      <c r="D115" s="37">
        <v>20609</v>
      </c>
      <c r="E115" s="40">
        <v>6563</v>
      </c>
      <c r="F115" s="41">
        <v>5462</v>
      </c>
      <c r="G115">
        <v>25063</v>
      </c>
      <c r="H115" s="46">
        <v>25612</v>
      </c>
      <c r="I115" s="37">
        <v>27512</v>
      </c>
      <c r="J115" s="42">
        <v>106.17</v>
      </c>
      <c r="K115" s="5">
        <v>106.68</v>
      </c>
      <c r="L115" s="37">
        <v>412600</v>
      </c>
      <c r="M115" s="43">
        <v>66.3</v>
      </c>
      <c r="N115">
        <v>2</v>
      </c>
      <c r="O115" s="36">
        <f>Rådatakommune[[#This Row],[B16-O]]/Rådatakommune[[#This Row],[Landareal2016-O]]</f>
        <v>398.19157954224357</v>
      </c>
      <c r="P115" s="36">
        <f>Rådatakommune[[#This Row],[B16-O]]/Rådatakommune[[#This Row],[Totalareal2016-O]]</f>
        <v>396.28796400449943</v>
      </c>
      <c r="Q115" s="38">
        <f>Rådatakommune[[#This Row],[B16-O]]/Rådatakommune[[#This Row],[B06-O]]-1</f>
        <v>0.1451014382838105</v>
      </c>
      <c r="R115" s="24">
        <f>Rådatakommune[[#This Row],[Kvinner20-39-O]]/Rådatakommune[[#This Row],[B16-O]]</f>
        <v>0.12919859967830447</v>
      </c>
      <c r="S115" s="24">
        <f>Rådatakommune[[#This Row],[Eldre67+-O]]/Rådatakommune[[#This Row],[B16-O]]</f>
        <v>0.15524174472513955</v>
      </c>
      <c r="T115" s="24">
        <f>Rådatakommune[[#This Row],[S15-O]]/Rådatakommune[[#This Row],[S05-O]]-1</f>
        <v>7.4183976261127604E-2</v>
      </c>
      <c r="U115" s="24">
        <f>Rådatakommune[[#This Row],[Y15-O]]/Rådatakommune[[#This Row],[Folk20-64-O]]</f>
        <v>0.82228783465666522</v>
      </c>
    </row>
    <row r="116" spans="1:21" x14ac:dyDescent="0.3">
      <c r="A116" s="2" t="s">
        <v>114</v>
      </c>
      <c r="B116" s="37">
        <v>41555</v>
      </c>
      <c r="C116" s="37">
        <v>45820</v>
      </c>
      <c r="D116" s="37">
        <v>21014</v>
      </c>
      <c r="E116" s="40">
        <v>7470</v>
      </c>
      <c r="F116" s="41">
        <v>5229</v>
      </c>
      <c r="G116">
        <v>26322</v>
      </c>
      <c r="H116" s="46">
        <v>19055</v>
      </c>
      <c r="I116" s="37">
        <v>20440</v>
      </c>
      <c r="J116" s="42">
        <v>118.75</v>
      </c>
      <c r="K116" s="5">
        <v>121.21</v>
      </c>
      <c r="L116" s="37">
        <v>397300</v>
      </c>
      <c r="M116" s="43">
        <v>75.566666666700002</v>
      </c>
      <c r="N116">
        <v>4</v>
      </c>
      <c r="O116" s="36">
        <f>Rådatakommune[[#This Row],[B16-O]]/Rådatakommune[[#This Row],[Landareal2016-O]]</f>
        <v>385.85263157894735</v>
      </c>
      <c r="P116" s="36">
        <f>Rådatakommune[[#This Row],[B16-O]]/Rådatakommune[[#This Row],[Totalareal2016-O]]</f>
        <v>378.02161537826913</v>
      </c>
      <c r="Q116" s="38">
        <f>Rådatakommune[[#This Row],[B16-O]]/Rådatakommune[[#This Row],[B06-O]]-1</f>
        <v>0.10263506196606897</v>
      </c>
      <c r="R116" s="24">
        <f>Rådatakommune[[#This Row],[Kvinner20-39-O]]/Rådatakommune[[#This Row],[B16-O]]</f>
        <v>0.11412047140986468</v>
      </c>
      <c r="S116" s="24">
        <f>Rådatakommune[[#This Row],[Eldre67+-O]]/Rådatakommune[[#This Row],[B16-O]]</f>
        <v>0.16302924487123527</v>
      </c>
      <c r="T116" s="24">
        <f>Rådatakommune[[#This Row],[S15-O]]/Rådatakommune[[#This Row],[S05-O]]-1</f>
        <v>7.2684334820257046E-2</v>
      </c>
      <c r="U116" s="24">
        <f>Rådatakommune[[#This Row],[Y15-O]]/Rådatakommune[[#This Row],[Folk20-64-O]]</f>
        <v>0.79834359091254459</v>
      </c>
    </row>
    <row r="117" spans="1:21" x14ac:dyDescent="0.3">
      <c r="A117" s="2" t="s">
        <v>115</v>
      </c>
      <c r="B117" s="37">
        <v>41211</v>
      </c>
      <c r="C117" s="37">
        <v>43867</v>
      </c>
      <c r="D117" s="37">
        <v>20279</v>
      </c>
      <c r="E117" s="40">
        <v>7435</v>
      </c>
      <c r="F117" s="41">
        <v>4847</v>
      </c>
      <c r="G117">
        <v>25286</v>
      </c>
      <c r="H117" s="46">
        <v>17849</v>
      </c>
      <c r="I117" s="37">
        <v>17474</v>
      </c>
      <c r="J117" s="42">
        <v>500.82</v>
      </c>
      <c r="K117" s="5">
        <v>534.98</v>
      </c>
      <c r="L117" s="37">
        <v>385200</v>
      </c>
      <c r="M117" s="43">
        <v>83.2</v>
      </c>
      <c r="N117">
        <v>4</v>
      </c>
      <c r="O117" s="36">
        <f>Rådatakommune[[#This Row],[B16-O]]/Rådatakommune[[#This Row],[Landareal2016-O]]</f>
        <v>87.590351823010266</v>
      </c>
      <c r="P117" s="36">
        <f>Rådatakommune[[#This Row],[B16-O]]/Rådatakommune[[#This Row],[Totalareal2016-O]]</f>
        <v>81.997457848891543</v>
      </c>
      <c r="Q117" s="38">
        <f>Rådatakommune[[#This Row],[B16-O]]/Rådatakommune[[#This Row],[B06-O]]-1</f>
        <v>6.4448812210332163E-2</v>
      </c>
      <c r="R117" s="24">
        <f>Rådatakommune[[#This Row],[Kvinner20-39-O]]/Rådatakommune[[#This Row],[B16-O]]</f>
        <v>0.11049308135956414</v>
      </c>
      <c r="S117" s="24">
        <f>Rådatakommune[[#This Row],[Eldre67+-O]]/Rådatakommune[[#This Row],[B16-O]]</f>
        <v>0.16948959354412199</v>
      </c>
      <c r="T117" s="24">
        <f>Rådatakommune[[#This Row],[S15-O]]/Rådatakommune[[#This Row],[S05-O]]-1</f>
        <v>-2.1009580368648084E-2</v>
      </c>
      <c r="U117" s="24">
        <f>Rådatakommune[[#This Row],[Y15-O]]/Rådatakommune[[#This Row],[Folk20-64-O]]</f>
        <v>0.80198528830182714</v>
      </c>
    </row>
    <row r="118" spans="1:21" x14ac:dyDescent="0.3">
      <c r="A118" s="2" t="s">
        <v>116</v>
      </c>
      <c r="B118" s="37">
        <v>6465</v>
      </c>
      <c r="C118" s="37">
        <v>6604</v>
      </c>
      <c r="D118" s="37">
        <v>3161</v>
      </c>
      <c r="E118" s="40">
        <v>1069</v>
      </c>
      <c r="F118" s="41">
        <v>706</v>
      </c>
      <c r="G118">
        <v>3869</v>
      </c>
      <c r="H118" s="46">
        <v>1496</v>
      </c>
      <c r="I118" s="37">
        <v>1513</v>
      </c>
      <c r="J118" s="42">
        <v>56.25</v>
      </c>
      <c r="K118" s="5">
        <v>57.72</v>
      </c>
      <c r="L118" s="37">
        <v>390200</v>
      </c>
      <c r="M118" s="43">
        <v>46.733333333300003</v>
      </c>
      <c r="N118">
        <v>2</v>
      </c>
      <c r="O118" s="36">
        <f>Rådatakommune[[#This Row],[B16-O]]/Rådatakommune[[#This Row],[Landareal2016-O]]</f>
        <v>117.40444444444445</v>
      </c>
      <c r="P118" s="36">
        <f>Rådatakommune[[#This Row],[B16-O]]/Rådatakommune[[#This Row],[Totalareal2016-O]]</f>
        <v>114.41441441441442</v>
      </c>
      <c r="Q118" s="38">
        <f>Rådatakommune[[#This Row],[B16-O]]/Rådatakommune[[#This Row],[B06-O]]-1</f>
        <v>2.1500386697602458E-2</v>
      </c>
      <c r="R118" s="24">
        <f>Rådatakommune[[#This Row],[Kvinner20-39-O]]/Rådatakommune[[#This Row],[B16-O]]</f>
        <v>0.10690490611750454</v>
      </c>
      <c r="S118" s="24">
        <f>Rådatakommune[[#This Row],[Eldre67+-O]]/Rådatakommune[[#This Row],[B16-O]]</f>
        <v>0.16187159297395518</v>
      </c>
      <c r="T118" s="24">
        <f>Rådatakommune[[#This Row],[S15-O]]/Rådatakommune[[#This Row],[S05-O]]-1</f>
        <v>1.1363636363636465E-2</v>
      </c>
      <c r="U118" s="24">
        <f>Rådatakommune[[#This Row],[Y15-O]]/Rådatakommune[[#This Row],[Folk20-64-O]]</f>
        <v>0.81700697854742832</v>
      </c>
    </row>
    <row r="119" spans="1:21" x14ac:dyDescent="0.3">
      <c r="A119" s="2" t="s">
        <v>117</v>
      </c>
      <c r="B119" s="37">
        <v>7740</v>
      </c>
      <c r="C119" s="37">
        <v>9297</v>
      </c>
      <c r="D119" s="37">
        <v>4520</v>
      </c>
      <c r="E119" s="40">
        <v>1336</v>
      </c>
      <c r="F119" s="41">
        <v>1062</v>
      </c>
      <c r="G119">
        <v>5367</v>
      </c>
      <c r="H119" s="46">
        <v>1972</v>
      </c>
      <c r="I119" s="37">
        <v>2338</v>
      </c>
      <c r="J119" s="42">
        <v>174.26</v>
      </c>
      <c r="K119" s="5">
        <v>178.34</v>
      </c>
      <c r="L119" s="37">
        <v>406900</v>
      </c>
      <c r="M119" s="43">
        <v>41.9666666667</v>
      </c>
      <c r="N119">
        <v>2</v>
      </c>
      <c r="O119" s="36">
        <f>Rådatakommune[[#This Row],[B16-O]]/Rådatakommune[[#This Row],[Landareal2016-O]]</f>
        <v>53.351314128314016</v>
      </c>
      <c r="P119" s="36">
        <f>Rådatakommune[[#This Row],[B16-O]]/Rådatakommune[[#This Row],[Totalareal2016-O]]</f>
        <v>52.130761466861053</v>
      </c>
      <c r="Q119" s="38">
        <f>Rådatakommune[[#This Row],[B16-O]]/Rådatakommune[[#This Row],[B06-O]]-1</f>
        <v>0.20116279069767451</v>
      </c>
      <c r="R119" s="24">
        <f>Rådatakommune[[#This Row],[Kvinner20-39-O]]/Rådatakommune[[#This Row],[B16-O]]</f>
        <v>0.11423039690222653</v>
      </c>
      <c r="S119" s="24">
        <f>Rådatakommune[[#This Row],[Eldre67+-O]]/Rådatakommune[[#This Row],[B16-O]]</f>
        <v>0.14370226954931697</v>
      </c>
      <c r="T119" s="24">
        <f>Rådatakommune[[#This Row],[S15-O]]/Rådatakommune[[#This Row],[S05-O]]-1</f>
        <v>0.18559837728194717</v>
      </c>
      <c r="U119" s="24">
        <f>Rådatakommune[[#This Row],[Y15-O]]/Rådatakommune[[#This Row],[Folk20-64-O]]</f>
        <v>0.8421837152971865</v>
      </c>
    </row>
    <row r="120" spans="1:21" x14ac:dyDescent="0.3">
      <c r="A120" s="2" t="s">
        <v>118</v>
      </c>
      <c r="B120" s="37">
        <v>3079</v>
      </c>
      <c r="C120" s="37">
        <v>3163</v>
      </c>
      <c r="D120" s="37">
        <v>1567</v>
      </c>
      <c r="E120" s="40">
        <v>493</v>
      </c>
      <c r="F120" s="41">
        <v>337</v>
      </c>
      <c r="G120">
        <v>1841</v>
      </c>
      <c r="H120" s="46">
        <v>869</v>
      </c>
      <c r="I120" s="37">
        <v>1005</v>
      </c>
      <c r="J120" s="42">
        <v>148.58000000000001</v>
      </c>
      <c r="K120" s="5">
        <v>163.12</v>
      </c>
      <c r="L120" s="37">
        <v>395700</v>
      </c>
      <c r="M120" s="43">
        <v>51.383333333300001</v>
      </c>
      <c r="N120">
        <v>2</v>
      </c>
      <c r="O120" s="36">
        <f>Rådatakommune[[#This Row],[B16-O]]/Rådatakommune[[#This Row],[Landareal2016-O]]</f>
        <v>21.288194911832008</v>
      </c>
      <c r="P120" s="36">
        <f>Rådatakommune[[#This Row],[B16-O]]/Rådatakommune[[#This Row],[Totalareal2016-O]]</f>
        <v>19.390632663070132</v>
      </c>
      <c r="Q120" s="38">
        <f>Rådatakommune[[#This Row],[B16-O]]/Rådatakommune[[#This Row],[B06-O]]-1</f>
        <v>2.7281584930172187E-2</v>
      </c>
      <c r="R120" s="24">
        <f>Rådatakommune[[#This Row],[Kvinner20-39-O]]/Rådatakommune[[#This Row],[B16-O]]</f>
        <v>0.10654441985456845</v>
      </c>
      <c r="S120" s="24">
        <f>Rådatakommune[[#This Row],[Eldre67+-O]]/Rådatakommune[[#This Row],[B16-O]]</f>
        <v>0.15586468542522922</v>
      </c>
      <c r="T120" s="24">
        <f>Rådatakommune[[#This Row],[S15-O]]/Rådatakommune[[#This Row],[S05-O]]-1</f>
        <v>0.15650172612197921</v>
      </c>
      <c r="U120" s="24">
        <f>Rådatakommune[[#This Row],[Y15-O]]/Rådatakommune[[#This Row],[Folk20-64-O]]</f>
        <v>0.85116784356328079</v>
      </c>
    </row>
    <row r="121" spans="1:21" x14ac:dyDescent="0.3">
      <c r="A121" s="2" t="s">
        <v>119</v>
      </c>
      <c r="B121" s="37">
        <v>8243</v>
      </c>
      <c r="C121" s="37">
        <v>9361</v>
      </c>
      <c r="D121" s="37">
        <v>4790</v>
      </c>
      <c r="E121" s="40">
        <v>1211</v>
      </c>
      <c r="F121" s="41">
        <v>1127</v>
      </c>
      <c r="G121">
        <v>5513</v>
      </c>
      <c r="H121" s="46">
        <v>2831</v>
      </c>
      <c r="I121" s="37">
        <v>3264</v>
      </c>
      <c r="J121" s="42">
        <v>222.37</v>
      </c>
      <c r="K121" s="5">
        <v>224.66</v>
      </c>
      <c r="L121" s="37">
        <v>400100</v>
      </c>
      <c r="M121" s="43">
        <v>59.516666666699997</v>
      </c>
      <c r="N121">
        <v>2</v>
      </c>
      <c r="O121" s="36">
        <f>Rådatakommune[[#This Row],[B16-O]]/Rådatakommune[[#This Row],[Landareal2016-O]]</f>
        <v>42.09650582362729</v>
      </c>
      <c r="P121" s="36">
        <f>Rådatakommune[[#This Row],[B16-O]]/Rådatakommune[[#This Row],[Totalareal2016-O]]</f>
        <v>41.667408528442984</v>
      </c>
      <c r="Q121" s="38">
        <f>Rådatakommune[[#This Row],[B16-O]]/Rådatakommune[[#This Row],[B06-O]]-1</f>
        <v>0.13563023171175548</v>
      </c>
      <c r="R121" s="24">
        <f>Rådatakommune[[#This Row],[Kvinner20-39-O]]/Rådatakommune[[#This Row],[B16-O]]</f>
        <v>0.12039312039312039</v>
      </c>
      <c r="S121" s="24">
        <f>Rådatakommune[[#This Row],[Eldre67+-O]]/Rådatakommune[[#This Row],[B16-O]]</f>
        <v>0.12936652067086848</v>
      </c>
      <c r="T121" s="24">
        <f>Rådatakommune[[#This Row],[S15-O]]/Rådatakommune[[#This Row],[S05-O]]-1</f>
        <v>0.15294948781349338</v>
      </c>
      <c r="U121" s="24">
        <f>Rådatakommune[[#This Row],[Y15-O]]/Rådatakommune[[#This Row],[Folk20-64-O]]</f>
        <v>0.86885543261382192</v>
      </c>
    </row>
    <row r="122" spans="1:21" x14ac:dyDescent="0.3">
      <c r="A122" s="2" t="s">
        <v>120</v>
      </c>
      <c r="B122" s="37">
        <v>5147</v>
      </c>
      <c r="C122" s="37">
        <v>5937</v>
      </c>
      <c r="D122" s="37">
        <v>3014</v>
      </c>
      <c r="E122" s="40">
        <v>751</v>
      </c>
      <c r="F122" s="41">
        <v>795</v>
      </c>
      <c r="G122">
        <v>3583</v>
      </c>
      <c r="H122" s="46">
        <v>1755</v>
      </c>
      <c r="I122" s="37">
        <v>2147</v>
      </c>
      <c r="J122" s="42">
        <v>182.8</v>
      </c>
      <c r="K122" s="5">
        <v>185.9</v>
      </c>
      <c r="L122" s="37">
        <v>375300</v>
      </c>
      <c r="M122" s="43">
        <v>72.3</v>
      </c>
      <c r="N122">
        <v>2</v>
      </c>
      <c r="O122" s="36">
        <f>Rådatakommune[[#This Row],[B16-O]]/Rådatakommune[[#This Row],[Landareal2016-O]]</f>
        <v>32.4781181619256</v>
      </c>
      <c r="P122" s="36">
        <f>Rådatakommune[[#This Row],[B16-O]]/Rådatakommune[[#This Row],[Totalareal2016-O]]</f>
        <v>31.93652501344809</v>
      </c>
      <c r="Q122" s="38">
        <f>Rådatakommune[[#This Row],[B16-O]]/Rådatakommune[[#This Row],[B06-O]]-1</f>
        <v>0.15348746842821059</v>
      </c>
      <c r="R122" s="24">
        <f>Rådatakommune[[#This Row],[Kvinner20-39-O]]/Rådatakommune[[#This Row],[B16-O]]</f>
        <v>0.13390601313794845</v>
      </c>
      <c r="S122" s="24">
        <f>Rådatakommune[[#This Row],[Eldre67+-O]]/Rådatakommune[[#This Row],[B16-O]]</f>
        <v>0.12649486272528213</v>
      </c>
      <c r="T122" s="24">
        <f>Rådatakommune[[#This Row],[S15-O]]/Rådatakommune[[#This Row],[S05-O]]-1</f>
        <v>0.22336182336182331</v>
      </c>
      <c r="U122" s="24">
        <f>Rådatakommune[[#This Row],[Y15-O]]/Rådatakommune[[#This Row],[Folk20-64-O]]</f>
        <v>0.84119452972369524</v>
      </c>
    </row>
    <row r="123" spans="1:21" x14ac:dyDescent="0.3">
      <c r="A123" s="2" t="s">
        <v>121</v>
      </c>
      <c r="B123" s="37">
        <v>10127</v>
      </c>
      <c r="C123" s="37">
        <v>11657</v>
      </c>
      <c r="D123" s="37">
        <v>5882</v>
      </c>
      <c r="E123" s="40">
        <v>1497</v>
      </c>
      <c r="F123" s="41">
        <v>1420</v>
      </c>
      <c r="G123">
        <v>7022</v>
      </c>
      <c r="H123" s="46">
        <v>4177</v>
      </c>
      <c r="I123" s="37">
        <v>5459</v>
      </c>
      <c r="J123" s="42">
        <v>115.59</v>
      </c>
      <c r="K123" s="5">
        <v>118.36</v>
      </c>
      <c r="L123" s="37">
        <v>385000</v>
      </c>
      <c r="M123" s="43">
        <v>69.166666666699996</v>
      </c>
      <c r="N123">
        <v>2</v>
      </c>
      <c r="O123" s="36">
        <f>Rådatakommune[[#This Row],[B16-O]]/Rådatakommune[[#This Row],[Landareal2016-O]]</f>
        <v>100.84782420624622</v>
      </c>
      <c r="P123" s="36">
        <f>Rådatakommune[[#This Row],[B16-O]]/Rådatakommune[[#This Row],[Totalareal2016-O]]</f>
        <v>98.487664751605266</v>
      </c>
      <c r="Q123" s="38">
        <f>Rådatakommune[[#This Row],[B16-O]]/Rådatakommune[[#This Row],[B06-O]]-1</f>
        <v>0.15108126789769916</v>
      </c>
      <c r="R123" s="24">
        <f>Rådatakommune[[#This Row],[Kvinner20-39-O]]/Rådatakommune[[#This Row],[B16-O]]</f>
        <v>0.12181521832375397</v>
      </c>
      <c r="S123" s="24">
        <f>Rådatakommune[[#This Row],[Eldre67+-O]]/Rådatakommune[[#This Row],[B16-O]]</f>
        <v>0.12842069143004203</v>
      </c>
      <c r="T123" s="24">
        <f>Rådatakommune[[#This Row],[S15-O]]/Rådatakommune[[#This Row],[S05-O]]-1</f>
        <v>0.30691884127364144</v>
      </c>
      <c r="U123" s="24">
        <f>Rådatakommune[[#This Row],[Y15-O]]/Rådatakommune[[#This Row],[Folk20-64-O]]</f>
        <v>0.83765309028766732</v>
      </c>
    </row>
    <row r="124" spans="1:21" x14ac:dyDescent="0.3">
      <c r="A124" s="2" t="s">
        <v>122</v>
      </c>
      <c r="B124" s="37">
        <v>20082</v>
      </c>
      <c r="C124" s="37">
        <v>21621</v>
      </c>
      <c r="D124" s="37">
        <v>10162</v>
      </c>
      <c r="E124" s="40">
        <v>3630</v>
      </c>
      <c r="F124" s="41">
        <v>2364</v>
      </c>
      <c r="G124">
        <v>12167</v>
      </c>
      <c r="H124" s="46">
        <v>5316</v>
      </c>
      <c r="I124" s="37">
        <v>6171</v>
      </c>
      <c r="J124" s="42">
        <v>60.43</v>
      </c>
      <c r="K124" s="5">
        <v>60.56</v>
      </c>
      <c r="L124" s="37">
        <v>436600</v>
      </c>
      <c r="M124" s="43">
        <v>71.966666666699993</v>
      </c>
      <c r="N124">
        <v>2</v>
      </c>
      <c r="O124" s="36">
        <f>Rådatakommune[[#This Row],[B16-O]]/Rådatakommune[[#This Row],[Landareal2016-O]]</f>
        <v>357.78586794638426</v>
      </c>
      <c r="P124" s="36">
        <f>Rådatakommune[[#This Row],[B16-O]]/Rådatakommune[[#This Row],[Totalareal2016-O]]</f>
        <v>357.01783355350062</v>
      </c>
      <c r="Q124" s="38">
        <f>Rådatakommune[[#This Row],[B16-O]]/Rådatakommune[[#This Row],[B06-O]]-1</f>
        <v>7.6635793247684436E-2</v>
      </c>
      <c r="R124" s="24">
        <f>Rådatakommune[[#This Row],[Kvinner20-39-O]]/Rådatakommune[[#This Row],[B16-O]]</f>
        <v>0.10933814347162481</v>
      </c>
      <c r="S124" s="24">
        <f>Rådatakommune[[#This Row],[Eldre67+-O]]/Rådatakommune[[#This Row],[B16-O]]</f>
        <v>0.16789232690439851</v>
      </c>
      <c r="T124" s="24">
        <f>Rådatakommune[[#This Row],[S15-O]]/Rådatakommune[[#This Row],[S05-O]]-1</f>
        <v>0.1608352144469527</v>
      </c>
      <c r="U124" s="24">
        <f>Rådatakommune[[#This Row],[Y15-O]]/Rådatakommune[[#This Row],[Folk20-64-O]]</f>
        <v>0.83520999424673292</v>
      </c>
    </row>
    <row r="125" spans="1:21" x14ac:dyDescent="0.3">
      <c r="A125" s="2" t="s">
        <v>123</v>
      </c>
      <c r="B125" s="37">
        <v>4566</v>
      </c>
      <c r="C125" s="37">
        <v>4971</v>
      </c>
      <c r="D125" s="37">
        <v>2307</v>
      </c>
      <c r="E125" s="40">
        <v>878</v>
      </c>
      <c r="F125" s="41">
        <v>494</v>
      </c>
      <c r="G125">
        <v>2923</v>
      </c>
      <c r="H125" s="46">
        <v>1177</v>
      </c>
      <c r="I125" s="37">
        <v>1268</v>
      </c>
      <c r="J125" s="42">
        <v>39.29</v>
      </c>
      <c r="K125" s="5">
        <v>39.4</v>
      </c>
      <c r="L125" s="37">
        <v>394100</v>
      </c>
      <c r="M125" s="43">
        <v>86.533333333300007</v>
      </c>
      <c r="N125">
        <v>3</v>
      </c>
      <c r="O125" s="36">
        <f>Rådatakommune[[#This Row],[B16-O]]/Rådatakommune[[#This Row],[Landareal2016-O]]</f>
        <v>126.52074319165182</v>
      </c>
      <c r="P125" s="36">
        <f>Rådatakommune[[#This Row],[B16-O]]/Rådatakommune[[#This Row],[Totalareal2016-O]]</f>
        <v>126.16751269035534</v>
      </c>
      <c r="Q125" s="38">
        <f>Rådatakommune[[#This Row],[B16-O]]/Rådatakommune[[#This Row],[B06-O]]-1</f>
        <v>8.8699080157687238E-2</v>
      </c>
      <c r="R125" s="24">
        <f>Rådatakommune[[#This Row],[Kvinner20-39-O]]/Rådatakommune[[#This Row],[B16-O]]</f>
        <v>9.937638302152485E-2</v>
      </c>
      <c r="S125" s="24">
        <f>Rådatakommune[[#This Row],[Eldre67+-O]]/Rådatakommune[[#This Row],[B16-O]]</f>
        <v>0.17662442164554415</v>
      </c>
      <c r="T125" s="24">
        <f>Rådatakommune[[#This Row],[S15-O]]/Rådatakommune[[#This Row],[S05-O]]-1</f>
        <v>7.7315208156329751E-2</v>
      </c>
      <c r="U125" s="24">
        <f>Rådatakommune[[#This Row],[Y15-O]]/Rådatakommune[[#This Row],[Folk20-64-O]]</f>
        <v>0.78925761204242217</v>
      </c>
    </row>
    <row r="126" spans="1:21" x14ac:dyDescent="0.3">
      <c r="A126" s="2" t="s">
        <v>124</v>
      </c>
      <c r="B126" s="37">
        <v>2445</v>
      </c>
      <c r="C126" s="37">
        <v>2474</v>
      </c>
      <c r="D126" s="37">
        <v>1228</v>
      </c>
      <c r="E126" s="40">
        <v>390</v>
      </c>
      <c r="F126" s="41">
        <v>249</v>
      </c>
      <c r="G126">
        <v>1457</v>
      </c>
      <c r="H126" s="46">
        <v>793</v>
      </c>
      <c r="I126" s="37">
        <v>1074</v>
      </c>
      <c r="J126" s="42">
        <v>270.69</v>
      </c>
      <c r="K126" s="5">
        <v>277.69</v>
      </c>
      <c r="L126" s="37">
        <v>387800</v>
      </c>
      <c r="M126" s="43">
        <v>66.566666666700002</v>
      </c>
      <c r="N126">
        <v>4</v>
      </c>
      <c r="O126" s="36">
        <f>Rådatakommune[[#This Row],[B16-O]]/Rådatakommune[[#This Row],[Landareal2016-O]]</f>
        <v>9.1396061915844697</v>
      </c>
      <c r="P126" s="36">
        <f>Rådatakommune[[#This Row],[B16-O]]/Rådatakommune[[#This Row],[Totalareal2016-O]]</f>
        <v>8.9092153120386044</v>
      </c>
      <c r="Q126" s="38">
        <f>Rådatakommune[[#This Row],[B16-O]]/Rådatakommune[[#This Row],[B06-O]]-1</f>
        <v>1.1860940695296529E-2</v>
      </c>
      <c r="R126" s="24">
        <f>Rådatakommune[[#This Row],[Kvinner20-39-O]]/Rådatakommune[[#This Row],[B16-O]]</f>
        <v>0.10064672594987874</v>
      </c>
      <c r="S126" s="24">
        <f>Rådatakommune[[#This Row],[Eldre67+-O]]/Rådatakommune[[#This Row],[B16-O]]</f>
        <v>0.1576394502829426</v>
      </c>
      <c r="T126" s="24">
        <f>Rådatakommune[[#This Row],[S15-O]]/Rådatakommune[[#This Row],[S05-O]]-1</f>
        <v>0.35435056746532156</v>
      </c>
      <c r="U126" s="24">
        <f>Rådatakommune[[#This Row],[Y15-O]]/Rådatakommune[[#This Row],[Folk20-64-O]]</f>
        <v>0.84282772820864793</v>
      </c>
    </row>
    <row r="127" spans="1:21" x14ac:dyDescent="0.3">
      <c r="A127" s="2" t="s">
        <v>125</v>
      </c>
      <c r="B127" s="37">
        <v>33550</v>
      </c>
      <c r="C127" s="37">
        <v>35955</v>
      </c>
      <c r="D127" s="37">
        <v>16495</v>
      </c>
      <c r="E127" s="40">
        <v>5767</v>
      </c>
      <c r="F127" s="41">
        <v>4257</v>
      </c>
      <c r="G127">
        <v>21072</v>
      </c>
      <c r="H127" s="46">
        <v>17285</v>
      </c>
      <c r="I127" s="37">
        <v>16885</v>
      </c>
      <c r="J127" s="42">
        <v>160.77000000000001</v>
      </c>
      <c r="K127" s="5">
        <v>163.86</v>
      </c>
      <c r="L127" s="37">
        <v>394200</v>
      </c>
      <c r="M127" s="43">
        <v>111.43333333299999</v>
      </c>
      <c r="N127">
        <v>4</v>
      </c>
      <c r="O127" s="36">
        <f>Rådatakommune[[#This Row],[B16-O]]/Rådatakommune[[#This Row],[Landareal2016-O]]</f>
        <v>223.64247061018844</v>
      </c>
      <c r="P127" s="36">
        <f>Rådatakommune[[#This Row],[B16-O]]/Rådatakommune[[#This Row],[Totalareal2016-O]]</f>
        <v>219.42511900402781</v>
      </c>
      <c r="Q127" s="38">
        <f>Rådatakommune[[#This Row],[B16-O]]/Rådatakommune[[#This Row],[B06-O]]-1</f>
        <v>7.1684053651266844E-2</v>
      </c>
      <c r="R127" s="24">
        <f>Rådatakommune[[#This Row],[Kvinner20-39-O]]/Rådatakommune[[#This Row],[B16-O]]</f>
        <v>0.11839799749687109</v>
      </c>
      <c r="S127" s="24">
        <f>Rådatakommune[[#This Row],[Eldre67+-O]]/Rådatakommune[[#This Row],[B16-O]]</f>
        <v>0.1603949381170908</v>
      </c>
      <c r="T127" s="24">
        <f>Rådatakommune[[#This Row],[S15-O]]/Rådatakommune[[#This Row],[S05-O]]-1</f>
        <v>-2.3141452126120954E-2</v>
      </c>
      <c r="U127" s="24">
        <f>Rådatakommune[[#This Row],[Y15-O]]/Rådatakommune[[#This Row],[Folk20-64-O]]</f>
        <v>0.782792331055429</v>
      </c>
    </row>
    <row r="128" spans="1:21" x14ac:dyDescent="0.3">
      <c r="A128" s="2" t="s">
        <v>126</v>
      </c>
      <c r="B128" s="37">
        <v>50761</v>
      </c>
      <c r="C128" s="37">
        <v>53952</v>
      </c>
      <c r="D128" s="37">
        <v>25073</v>
      </c>
      <c r="E128" s="40">
        <v>8526</v>
      </c>
      <c r="F128" s="41">
        <v>6434</v>
      </c>
      <c r="G128">
        <v>31518</v>
      </c>
      <c r="H128" s="46">
        <v>23294</v>
      </c>
      <c r="I128" s="37">
        <v>24768</v>
      </c>
      <c r="J128" s="42">
        <v>719.04</v>
      </c>
      <c r="K128" s="5">
        <v>778.06</v>
      </c>
      <c r="L128" s="37">
        <v>383200</v>
      </c>
      <c r="M128" s="43">
        <v>98.966666666699993</v>
      </c>
      <c r="N128">
        <v>4</v>
      </c>
      <c r="O128" s="36">
        <f>Rådatakommune[[#This Row],[B16-O]]/Rådatakommune[[#This Row],[Landareal2016-O]]</f>
        <v>75.033377837116163</v>
      </c>
      <c r="P128" s="36">
        <f>Rådatakommune[[#This Row],[B16-O]]/Rådatakommune[[#This Row],[Totalareal2016-O]]</f>
        <v>69.341696013160941</v>
      </c>
      <c r="Q128" s="38">
        <f>Rådatakommune[[#This Row],[B16-O]]/Rådatakommune[[#This Row],[B06-O]]-1</f>
        <v>6.2863221764740684E-2</v>
      </c>
      <c r="R128" s="24">
        <f>Rådatakommune[[#This Row],[Kvinner20-39-O]]/Rådatakommune[[#This Row],[B16-O]]</f>
        <v>0.11925415183867141</v>
      </c>
      <c r="S128" s="24">
        <f>Rådatakommune[[#This Row],[Eldre67+-O]]/Rådatakommune[[#This Row],[B16-O]]</f>
        <v>0.15802935943060498</v>
      </c>
      <c r="T128" s="24">
        <f>Rådatakommune[[#This Row],[S15-O]]/Rådatakommune[[#This Row],[S05-O]]-1</f>
        <v>6.3278097364128039E-2</v>
      </c>
      <c r="U128" s="24">
        <f>Rådatakommune[[#This Row],[Y15-O]]/Rådatakommune[[#This Row],[Folk20-64-O]]</f>
        <v>0.79551367472555368</v>
      </c>
    </row>
    <row r="129" spans="1:21" x14ac:dyDescent="0.3">
      <c r="A129" s="2" t="s">
        <v>127</v>
      </c>
      <c r="B129" s="37">
        <v>12314</v>
      </c>
      <c r="C129" s="37">
        <v>12717</v>
      </c>
      <c r="D129" s="37">
        <v>5737</v>
      </c>
      <c r="E129" s="40">
        <v>2257</v>
      </c>
      <c r="F129" s="41">
        <v>1464</v>
      </c>
      <c r="G129">
        <v>7329</v>
      </c>
      <c r="H129" s="46">
        <v>5451</v>
      </c>
      <c r="I129" s="37">
        <v>5320</v>
      </c>
      <c r="J129" s="42">
        <v>851.2</v>
      </c>
      <c r="K129" s="5">
        <v>918.66000000000008</v>
      </c>
      <c r="L129" s="37">
        <v>373700</v>
      </c>
      <c r="M129" s="43">
        <v>89.316666666700002</v>
      </c>
      <c r="N129">
        <v>5</v>
      </c>
      <c r="O129" s="36">
        <f>Rådatakommune[[#This Row],[B16-O]]/Rådatakommune[[#This Row],[Landareal2016-O]]</f>
        <v>14.940084586466165</v>
      </c>
      <c r="P129" s="36">
        <f>Rådatakommune[[#This Row],[B16-O]]/Rådatakommune[[#This Row],[Totalareal2016-O]]</f>
        <v>13.842988700933967</v>
      </c>
      <c r="Q129" s="38">
        <f>Rådatakommune[[#This Row],[B16-O]]/Rådatakommune[[#This Row],[B06-O]]-1</f>
        <v>3.2726977424070158E-2</v>
      </c>
      <c r="R129" s="24">
        <f>Rådatakommune[[#This Row],[Kvinner20-39-O]]/Rådatakommune[[#This Row],[B16-O]]</f>
        <v>0.11512149091766927</v>
      </c>
      <c r="S129" s="24">
        <f>Rådatakommune[[#This Row],[Eldre67+-O]]/Rådatakommune[[#This Row],[B16-O]]</f>
        <v>0.1774789651647401</v>
      </c>
      <c r="T129" s="24">
        <f>Rådatakommune[[#This Row],[S15-O]]/Rådatakommune[[#This Row],[S05-O]]-1</f>
        <v>-2.4032287653641515E-2</v>
      </c>
      <c r="U129" s="24">
        <f>Rådatakommune[[#This Row],[Y15-O]]/Rådatakommune[[#This Row],[Folk20-64-O]]</f>
        <v>0.78278073407013238</v>
      </c>
    </row>
    <row r="130" spans="1:21" x14ac:dyDescent="0.3">
      <c r="A130" s="2" t="s">
        <v>128</v>
      </c>
      <c r="B130" s="37">
        <v>2362</v>
      </c>
      <c r="C130" s="37">
        <v>2335</v>
      </c>
      <c r="D130" s="37">
        <v>1182</v>
      </c>
      <c r="E130" s="40">
        <v>383</v>
      </c>
      <c r="F130" s="41">
        <v>270</v>
      </c>
      <c r="G130">
        <v>1324</v>
      </c>
      <c r="H130" s="46">
        <v>466</v>
      </c>
      <c r="I130" s="37">
        <v>487</v>
      </c>
      <c r="J130" s="42">
        <v>202.2</v>
      </c>
      <c r="K130" s="5">
        <v>213.95999999999998</v>
      </c>
      <c r="L130" s="37">
        <v>374200</v>
      </c>
      <c r="M130" s="43">
        <v>86.066666666700002</v>
      </c>
      <c r="N130">
        <v>4</v>
      </c>
      <c r="O130" s="36">
        <f>Rådatakommune[[#This Row],[B16-O]]/Rådatakommune[[#This Row],[Landareal2016-O]]</f>
        <v>11.547972304648864</v>
      </c>
      <c r="P130" s="36">
        <f>Rådatakommune[[#This Row],[B16-O]]/Rådatakommune[[#This Row],[Totalareal2016-O]]</f>
        <v>10.913254813983924</v>
      </c>
      <c r="Q130" s="38">
        <f>Rådatakommune[[#This Row],[B16-O]]/Rådatakommune[[#This Row],[B06-O]]-1</f>
        <v>-1.1430990685859399E-2</v>
      </c>
      <c r="R130" s="24">
        <f>Rådatakommune[[#This Row],[Kvinner20-39-O]]/Rådatakommune[[#This Row],[B16-O]]</f>
        <v>0.11563169164882227</v>
      </c>
      <c r="S130" s="24">
        <f>Rådatakommune[[#This Row],[Eldre67+-O]]/Rådatakommune[[#This Row],[B16-O]]</f>
        <v>0.16402569593147751</v>
      </c>
      <c r="T130" s="24">
        <f>Rådatakommune[[#This Row],[S15-O]]/Rådatakommune[[#This Row],[S05-O]]-1</f>
        <v>4.5064377682403345E-2</v>
      </c>
      <c r="U130" s="24">
        <f>Rådatakommune[[#This Row],[Y15-O]]/Rådatakommune[[#This Row],[Folk20-64-O]]</f>
        <v>0.89274924471299089</v>
      </c>
    </row>
    <row r="131" spans="1:21" x14ac:dyDescent="0.3">
      <c r="A131" s="2" t="s">
        <v>129</v>
      </c>
      <c r="B131" s="37">
        <v>14104</v>
      </c>
      <c r="C131" s="37">
        <v>14088</v>
      </c>
      <c r="D131" s="37">
        <v>6547</v>
      </c>
      <c r="E131" s="40">
        <v>2341</v>
      </c>
      <c r="F131" s="41">
        <v>1518</v>
      </c>
      <c r="G131">
        <v>8116</v>
      </c>
      <c r="H131" s="46">
        <v>5329</v>
      </c>
      <c r="I131" s="37">
        <v>4789</v>
      </c>
      <c r="J131" s="42">
        <v>282.37</v>
      </c>
      <c r="K131" s="5">
        <v>304.36</v>
      </c>
      <c r="L131" s="37">
        <v>401100</v>
      </c>
      <c r="M131" s="43">
        <v>109.616666667</v>
      </c>
      <c r="N131">
        <v>4</v>
      </c>
      <c r="O131" s="36">
        <f>Rådatakommune[[#This Row],[B16-O]]/Rådatakommune[[#This Row],[Landareal2016-O]]</f>
        <v>49.891985692531073</v>
      </c>
      <c r="P131" s="36">
        <f>Rådatakommune[[#This Row],[B16-O]]/Rådatakommune[[#This Row],[Totalareal2016-O]]</f>
        <v>46.287291365488237</v>
      </c>
      <c r="Q131" s="38">
        <f>Rådatakommune[[#This Row],[B16-O]]/Rådatakommune[[#This Row],[B06-O]]-1</f>
        <v>-1.1344299489506326E-3</v>
      </c>
      <c r="R131" s="24">
        <f>Rådatakommune[[#This Row],[Kvinner20-39-O]]/Rådatakommune[[#This Row],[B16-O]]</f>
        <v>0.10775127768313458</v>
      </c>
      <c r="S131" s="24">
        <f>Rådatakommune[[#This Row],[Eldre67+-O]]/Rådatakommune[[#This Row],[B16-O]]</f>
        <v>0.16616978989210676</v>
      </c>
      <c r="T131" s="24">
        <f>Rådatakommune[[#This Row],[S15-O]]/Rådatakommune[[#This Row],[S05-O]]-1</f>
        <v>-0.1013323325201726</v>
      </c>
      <c r="U131" s="24">
        <f>Rådatakommune[[#This Row],[Y15-O]]/Rådatakommune[[#This Row],[Folk20-64-O]]</f>
        <v>0.8066781665845244</v>
      </c>
    </row>
    <row r="132" spans="1:21" x14ac:dyDescent="0.3">
      <c r="A132" s="2" t="s">
        <v>130</v>
      </c>
      <c r="B132" s="37">
        <v>10477</v>
      </c>
      <c r="C132" s="37">
        <v>10607</v>
      </c>
      <c r="D132" s="37">
        <v>4632</v>
      </c>
      <c r="E132" s="40">
        <v>2041</v>
      </c>
      <c r="F132" s="41">
        <v>1069</v>
      </c>
      <c r="G132">
        <v>5967</v>
      </c>
      <c r="H132" s="46">
        <v>4248</v>
      </c>
      <c r="I132" s="37">
        <v>4076</v>
      </c>
      <c r="J132" s="42">
        <v>288.63</v>
      </c>
      <c r="K132" s="5">
        <v>305.3</v>
      </c>
      <c r="L132" s="37">
        <v>362200</v>
      </c>
      <c r="M132" s="43">
        <v>132.883333333</v>
      </c>
      <c r="N132">
        <v>4</v>
      </c>
      <c r="O132" s="36">
        <f>Rådatakommune[[#This Row],[B16-O]]/Rådatakommune[[#This Row],[Landareal2016-O]]</f>
        <v>36.749471641894466</v>
      </c>
      <c r="P132" s="36">
        <f>Rådatakommune[[#This Row],[B16-O]]/Rådatakommune[[#This Row],[Totalareal2016-O]]</f>
        <v>34.74287585981002</v>
      </c>
      <c r="Q132" s="38">
        <f>Rådatakommune[[#This Row],[B16-O]]/Rådatakommune[[#This Row],[B06-O]]-1</f>
        <v>1.2408132098883362E-2</v>
      </c>
      <c r="R132" s="24">
        <f>Rådatakommune[[#This Row],[Kvinner20-39-O]]/Rådatakommune[[#This Row],[B16-O]]</f>
        <v>0.10078250212124069</v>
      </c>
      <c r="S132" s="24">
        <f>Rådatakommune[[#This Row],[Eldre67+-O]]/Rådatakommune[[#This Row],[B16-O]]</f>
        <v>0.19242009993400586</v>
      </c>
      <c r="T132" s="24">
        <f>Rådatakommune[[#This Row],[S15-O]]/Rådatakommune[[#This Row],[S05-O]]-1</f>
        <v>-4.0489642184557417E-2</v>
      </c>
      <c r="U132" s="24">
        <f>Rådatakommune[[#This Row],[Y15-O]]/Rådatakommune[[#This Row],[Folk20-64-O]]</f>
        <v>0.77626948215183511</v>
      </c>
    </row>
    <row r="133" spans="1:21" x14ac:dyDescent="0.3">
      <c r="A133" s="2" t="s">
        <v>131</v>
      </c>
      <c r="B133" s="37">
        <v>4163</v>
      </c>
      <c r="C133" s="37">
        <v>4136</v>
      </c>
      <c r="D133" s="37">
        <v>1908</v>
      </c>
      <c r="E133" s="40">
        <v>774</v>
      </c>
      <c r="F133" s="41">
        <v>418</v>
      </c>
      <c r="G133">
        <v>2294</v>
      </c>
      <c r="H133" s="46">
        <v>1114</v>
      </c>
      <c r="I133" s="37">
        <v>1205</v>
      </c>
      <c r="J133" s="42">
        <v>995.29</v>
      </c>
      <c r="K133" s="5">
        <v>1062.78</v>
      </c>
      <c r="L133" s="37">
        <v>352100</v>
      </c>
      <c r="M133" s="43">
        <v>140.85</v>
      </c>
      <c r="N133">
        <v>4</v>
      </c>
      <c r="O133" s="36">
        <f>Rådatakommune[[#This Row],[B16-O]]/Rådatakommune[[#This Row],[Landareal2016-O]]</f>
        <v>4.1555727476413908</v>
      </c>
      <c r="P133" s="36">
        <f>Rådatakommune[[#This Row],[B16-O]]/Rådatakommune[[#This Row],[Totalareal2016-O]]</f>
        <v>3.8916803101300363</v>
      </c>
      <c r="Q133" s="38">
        <f>Rådatakommune[[#This Row],[B16-O]]/Rådatakommune[[#This Row],[B06-O]]-1</f>
        <v>-6.4857074225318501E-3</v>
      </c>
      <c r="R133" s="24">
        <f>Rådatakommune[[#This Row],[Kvinner20-39-O]]/Rådatakommune[[#This Row],[B16-O]]</f>
        <v>0.10106382978723404</v>
      </c>
      <c r="S133" s="24">
        <f>Rådatakommune[[#This Row],[Eldre67+-O]]/Rådatakommune[[#This Row],[B16-O]]</f>
        <v>0.18713733075435204</v>
      </c>
      <c r="T133" s="24">
        <f>Rådatakommune[[#This Row],[S15-O]]/Rådatakommune[[#This Row],[S05-O]]-1</f>
        <v>8.1687612208258598E-2</v>
      </c>
      <c r="U133" s="24">
        <f>Rådatakommune[[#This Row],[Y15-O]]/Rådatakommune[[#This Row],[Folk20-64-O]]</f>
        <v>0.83173496076721887</v>
      </c>
    </row>
    <row r="134" spans="1:21" x14ac:dyDescent="0.3">
      <c r="A134" s="2" t="s">
        <v>132</v>
      </c>
      <c r="B134" s="37">
        <v>6571</v>
      </c>
      <c r="C134" s="37">
        <v>6534</v>
      </c>
      <c r="D134" s="37">
        <v>3045</v>
      </c>
      <c r="E134" s="40">
        <v>1229</v>
      </c>
      <c r="F134" s="41">
        <v>660</v>
      </c>
      <c r="G134">
        <v>3679</v>
      </c>
      <c r="H134" s="46">
        <v>2277</v>
      </c>
      <c r="I134" s="37">
        <v>2271</v>
      </c>
      <c r="J134" s="42">
        <v>385.42</v>
      </c>
      <c r="K134" s="5">
        <v>429.69</v>
      </c>
      <c r="L134" s="37">
        <v>359100</v>
      </c>
      <c r="M134" s="43">
        <v>125.616666667</v>
      </c>
      <c r="N134">
        <v>4</v>
      </c>
      <c r="O134" s="36">
        <f>Rådatakommune[[#This Row],[B16-O]]/Rådatakommune[[#This Row],[Landareal2016-O]]</f>
        <v>16.952934461107361</v>
      </c>
      <c r="P134" s="36">
        <f>Rådatakommune[[#This Row],[B16-O]]/Rådatakommune[[#This Row],[Totalareal2016-O]]</f>
        <v>15.206311526914753</v>
      </c>
      <c r="Q134" s="38">
        <f>Rådatakommune[[#This Row],[B16-O]]/Rådatakommune[[#This Row],[B06-O]]-1</f>
        <v>-5.6308020088267074E-3</v>
      </c>
      <c r="R134" s="24">
        <f>Rådatakommune[[#This Row],[Kvinner20-39-O]]/Rådatakommune[[#This Row],[B16-O]]</f>
        <v>0.10101010101010101</v>
      </c>
      <c r="S134" s="24">
        <f>Rådatakommune[[#This Row],[Eldre67+-O]]/Rådatakommune[[#This Row],[B16-O]]</f>
        <v>0.18809305172941537</v>
      </c>
      <c r="T134" s="24">
        <f>Rådatakommune[[#This Row],[S15-O]]/Rådatakommune[[#This Row],[S05-O]]-1</f>
        <v>-2.6350461133070047E-3</v>
      </c>
      <c r="U134" s="24">
        <f>Rådatakommune[[#This Row],[Y15-O]]/Rådatakommune[[#This Row],[Folk20-64-O]]</f>
        <v>0.82767056265289485</v>
      </c>
    </row>
    <row r="135" spans="1:21" x14ac:dyDescent="0.3">
      <c r="A135" s="2" t="s">
        <v>133</v>
      </c>
      <c r="B135" s="37">
        <v>5307</v>
      </c>
      <c r="C135" s="37">
        <v>6101</v>
      </c>
      <c r="D135" s="37">
        <v>2822</v>
      </c>
      <c r="E135" s="40">
        <v>942</v>
      </c>
      <c r="F135" s="41">
        <v>853</v>
      </c>
      <c r="G135">
        <v>3594</v>
      </c>
      <c r="H135" s="46">
        <v>2520</v>
      </c>
      <c r="I135" s="37">
        <v>2734</v>
      </c>
      <c r="J135" s="42">
        <v>258.26</v>
      </c>
      <c r="K135" s="5">
        <v>263.20999999999998</v>
      </c>
      <c r="L135" s="37">
        <v>358600</v>
      </c>
      <c r="M135" s="43">
        <v>114.983333333</v>
      </c>
      <c r="N135">
        <v>5</v>
      </c>
      <c r="O135" s="36">
        <f>Rådatakommune[[#This Row],[B16-O]]/Rådatakommune[[#This Row],[Landareal2016-O]]</f>
        <v>23.623480213738095</v>
      </c>
      <c r="P135" s="36">
        <f>Rådatakommune[[#This Row],[B16-O]]/Rådatakommune[[#This Row],[Totalareal2016-O]]</f>
        <v>23.17921051631777</v>
      </c>
      <c r="Q135" s="38">
        <f>Rådatakommune[[#This Row],[B16-O]]/Rådatakommune[[#This Row],[B06-O]]-1</f>
        <v>0.14961371773129839</v>
      </c>
      <c r="R135" s="24">
        <f>Rådatakommune[[#This Row],[Kvinner20-39-O]]/Rådatakommune[[#This Row],[B16-O]]</f>
        <v>0.13981314538600229</v>
      </c>
      <c r="S135" s="24">
        <f>Rådatakommune[[#This Row],[Eldre67+-O]]/Rådatakommune[[#This Row],[B16-O]]</f>
        <v>0.15440091788231439</v>
      </c>
      <c r="T135" s="24">
        <f>Rådatakommune[[#This Row],[S15-O]]/Rådatakommune[[#This Row],[S05-O]]-1</f>
        <v>8.4920634920634841E-2</v>
      </c>
      <c r="U135" s="24">
        <f>Rådatakommune[[#This Row],[Y15-O]]/Rådatakommune[[#This Row],[Folk20-64-O]]</f>
        <v>0.78519755147468007</v>
      </c>
    </row>
    <row r="136" spans="1:21" x14ac:dyDescent="0.3">
      <c r="A136" s="2" t="s">
        <v>134</v>
      </c>
      <c r="B136" s="37">
        <v>4291</v>
      </c>
      <c r="C136" s="37">
        <v>4338</v>
      </c>
      <c r="D136" s="37">
        <v>2068</v>
      </c>
      <c r="E136" s="40">
        <v>764</v>
      </c>
      <c r="F136" s="41">
        <v>474</v>
      </c>
      <c r="G136">
        <v>2474</v>
      </c>
      <c r="H136" s="46">
        <v>1395</v>
      </c>
      <c r="I136" s="37">
        <v>1379</v>
      </c>
      <c r="J136" s="42">
        <v>289.61</v>
      </c>
      <c r="K136" s="5">
        <v>320.54000000000002</v>
      </c>
      <c r="L136" s="37">
        <v>370500</v>
      </c>
      <c r="M136" s="43">
        <v>115.05</v>
      </c>
      <c r="N136">
        <v>5</v>
      </c>
      <c r="O136" s="36">
        <f>Rådatakommune[[#This Row],[B16-O]]/Rådatakommune[[#This Row],[Landareal2016-O]]</f>
        <v>14.978764545423154</v>
      </c>
      <c r="P136" s="36">
        <f>Rådatakommune[[#This Row],[B16-O]]/Rådatakommune[[#This Row],[Totalareal2016-O]]</f>
        <v>13.533412366631309</v>
      </c>
      <c r="Q136" s="38">
        <f>Rådatakommune[[#This Row],[B16-O]]/Rådatakommune[[#This Row],[B06-O]]-1</f>
        <v>1.0953157772081168E-2</v>
      </c>
      <c r="R136" s="24">
        <f>Rådatakommune[[#This Row],[Kvinner20-39-O]]/Rådatakommune[[#This Row],[B16-O]]</f>
        <v>0.10926694329183956</v>
      </c>
      <c r="S136" s="24">
        <f>Rådatakommune[[#This Row],[Eldre67+-O]]/Rådatakommune[[#This Row],[B16-O]]</f>
        <v>0.17611802674043339</v>
      </c>
      <c r="T136" s="24">
        <f>Rådatakommune[[#This Row],[S15-O]]/Rådatakommune[[#This Row],[S05-O]]-1</f>
        <v>-1.1469534050179253E-2</v>
      </c>
      <c r="U136" s="24">
        <f>Rådatakommune[[#This Row],[Y15-O]]/Rådatakommune[[#This Row],[Folk20-64-O]]</f>
        <v>0.83589329021826997</v>
      </c>
    </row>
    <row r="137" spans="1:21" x14ac:dyDescent="0.3">
      <c r="A137" s="2" t="s">
        <v>135</v>
      </c>
      <c r="B137" s="37">
        <v>6247</v>
      </c>
      <c r="C137" s="37">
        <v>5940</v>
      </c>
      <c r="D137" s="37">
        <v>2881</v>
      </c>
      <c r="E137" s="40">
        <v>1127</v>
      </c>
      <c r="F137" s="41">
        <v>548</v>
      </c>
      <c r="G137">
        <v>3320</v>
      </c>
      <c r="H137" s="46">
        <v>2898</v>
      </c>
      <c r="I137" s="37">
        <v>2709</v>
      </c>
      <c r="J137" s="42">
        <v>1848.02</v>
      </c>
      <c r="K137" s="5">
        <v>2045.1399999999999</v>
      </c>
      <c r="L137" s="37">
        <v>374300</v>
      </c>
      <c r="M137" s="43">
        <v>136.55000000000001</v>
      </c>
      <c r="N137">
        <v>9</v>
      </c>
      <c r="O137" s="36">
        <f>Rådatakommune[[#This Row],[B16-O]]/Rådatakommune[[#This Row],[Landareal2016-O]]</f>
        <v>3.2142509280202596</v>
      </c>
      <c r="P137" s="36">
        <f>Rådatakommune[[#This Row],[B16-O]]/Rådatakommune[[#This Row],[Totalareal2016-O]]</f>
        <v>2.9044466393498736</v>
      </c>
      <c r="Q137" s="38">
        <f>Rådatakommune[[#This Row],[B16-O]]/Rådatakommune[[#This Row],[B06-O]]-1</f>
        <v>-4.914358892268289E-2</v>
      </c>
      <c r="R137" s="24">
        <f>Rådatakommune[[#This Row],[Kvinner20-39-O]]/Rådatakommune[[#This Row],[B16-O]]</f>
        <v>9.2255892255892258E-2</v>
      </c>
      <c r="S137" s="24">
        <f>Rådatakommune[[#This Row],[Eldre67+-O]]/Rådatakommune[[#This Row],[B16-O]]</f>
        <v>0.18973063973063972</v>
      </c>
      <c r="T137" s="24">
        <f>Rådatakommune[[#This Row],[S15-O]]/Rådatakommune[[#This Row],[S05-O]]-1</f>
        <v>-6.5217391304347783E-2</v>
      </c>
      <c r="U137" s="24">
        <f>Rådatakommune[[#This Row],[Y15-O]]/Rådatakommune[[#This Row],[Folk20-64-O]]</f>
        <v>0.8677710843373494</v>
      </c>
    </row>
    <row r="138" spans="1:21" x14ac:dyDescent="0.3">
      <c r="A138" s="2" t="s">
        <v>136</v>
      </c>
      <c r="B138" s="37">
        <v>1619</v>
      </c>
      <c r="C138" s="37">
        <v>1613</v>
      </c>
      <c r="D138" s="37">
        <v>811</v>
      </c>
      <c r="E138" s="40">
        <v>342</v>
      </c>
      <c r="F138" s="41">
        <v>154</v>
      </c>
      <c r="G138">
        <v>852</v>
      </c>
      <c r="H138" s="46">
        <v>566</v>
      </c>
      <c r="I138" s="37">
        <v>687</v>
      </c>
      <c r="J138" s="42">
        <v>737.11</v>
      </c>
      <c r="K138" s="5">
        <v>791.6</v>
      </c>
      <c r="L138" s="37">
        <v>371400</v>
      </c>
      <c r="M138" s="43">
        <v>108.483333333</v>
      </c>
      <c r="N138">
        <v>5</v>
      </c>
      <c r="O138" s="36">
        <f>Rådatakommune[[#This Row],[B16-O]]/Rådatakommune[[#This Row],[Landareal2016-O]]</f>
        <v>2.1882758340003527</v>
      </c>
      <c r="P138" s="36">
        <f>Rådatakommune[[#This Row],[B16-O]]/Rådatakommune[[#This Row],[Totalareal2016-O]]</f>
        <v>2.0376452753916117</v>
      </c>
      <c r="Q138" s="38">
        <f>Rådatakommune[[#This Row],[B16-O]]/Rådatakommune[[#This Row],[B06-O]]-1</f>
        <v>-3.7059913526867883E-3</v>
      </c>
      <c r="R138" s="24">
        <f>Rådatakommune[[#This Row],[Kvinner20-39-O]]/Rådatakommune[[#This Row],[B16-O]]</f>
        <v>9.5474271543707384E-2</v>
      </c>
      <c r="S138" s="24">
        <f>Rådatakommune[[#This Row],[Eldre67+-O]]/Rådatakommune[[#This Row],[B16-O]]</f>
        <v>0.21202727836329821</v>
      </c>
      <c r="T138" s="24">
        <f>Rådatakommune[[#This Row],[S15-O]]/Rådatakommune[[#This Row],[S05-O]]-1</f>
        <v>0.21378091872791516</v>
      </c>
      <c r="U138" s="24">
        <f>Rådatakommune[[#This Row],[Y15-O]]/Rådatakommune[[#This Row],[Folk20-64-O]]</f>
        <v>0.9518779342723005</v>
      </c>
    </row>
    <row r="139" spans="1:21" x14ac:dyDescent="0.3">
      <c r="A139" s="2" t="s">
        <v>137</v>
      </c>
      <c r="B139" s="37">
        <v>2912</v>
      </c>
      <c r="C139" s="37">
        <v>2991</v>
      </c>
      <c r="D139" s="37">
        <v>1470</v>
      </c>
      <c r="E139" s="40">
        <v>577</v>
      </c>
      <c r="F139" s="41">
        <v>296</v>
      </c>
      <c r="G139">
        <v>1658</v>
      </c>
      <c r="H139" s="46">
        <v>1462</v>
      </c>
      <c r="I139" s="37">
        <v>1514</v>
      </c>
      <c r="J139" s="42">
        <v>669.27</v>
      </c>
      <c r="K139" s="5">
        <v>715.09</v>
      </c>
      <c r="L139" s="37">
        <v>370500</v>
      </c>
      <c r="M139" s="43">
        <v>135.55000000000001</v>
      </c>
      <c r="N139">
        <v>10</v>
      </c>
      <c r="O139" s="36">
        <f>Rådatakommune[[#This Row],[B16-O]]/Rådatakommune[[#This Row],[Landareal2016-O]]</f>
        <v>4.4690483661302611</v>
      </c>
      <c r="P139" s="36">
        <f>Rådatakommune[[#This Row],[B16-O]]/Rådatakommune[[#This Row],[Totalareal2016-O]]</f>
        <v>4.1826902907326344</v>
      </c>
      <c r="Q139" s="38">
        <f>Rådatakommune[[#This Row],[B16-O]]/Rådatakommune[[#This Row],[B06-O]]-1</f>
        <v>2.7129120879120894E-2</v>
      </c>
      <c r="R139" s="24">
        <f>Rådatakommune[[#This Row],[Kvinner20-39-O]]/Rådatakommune[[#This Row],[B16-O]]</f>
        <v>9.8963557338682714E-2</v>
      </c>
      <c r="S139" s="24">
        <f>Rådatakommune[[#This Row],[Eldre67+-O]]/Rådatakommune[[#This Row],[B16-O]]</f>
        <v>0.19291206954195922</v>
      </c>
      <c r="T139" s="24">
        <f>Rådatakommune[[#This Row],[S15-O]]/Rådatakommune[[#This Row],[S05-O]]-1</f>
        <v>3.5567715458276306E-2</v>
      </c>
      <c r="U139" s="24">
        <f>Rådatakommune[[#This Row],[Y15-O]]/Rådatakommune[[#This Row],[Folk20-64-O]]</f>
        <v>0.88661037394451148</v>
      </c>
    </row>
    <row r="140" spans="1:21" x14ac:dyDescent="0.3">
      <c r="A140" s="2" t="s">
        <v>138</v>
      </c>
      <c r="B140" s="37">
        <v>2575</v>
      </c>
      <c r="C140" s="37">
        <v>2448</v>
      </c>
      <c r="D140" s="37">
        <v>1301</v>
      </c>
      <c r="E140" s="40">
        <v>475</v>
      </c>
      <c r="F140" s="41">
        <v>220</v>
      </c>
      <c r="G140">
        <v>1433</v>
      </c>
      <c r="H140" s="46">
        <v>1072</v>
      </c>
      <c r="I140" s="37">
        <v>1130</v>
      </c>
      <c r="J140" s="42">
        <v>623.03</v>
      </c>
      <c r="K140" s="5">
        <v>708.46</v>
      </c>
      <c r="L140" s="37">
        <v>368100</v>
      </c>
      <c r="M140" s="43">
        <v>148.633333333</v>
      </c>
      <c r="N140">
        <v>10</v>
      </c>
      <c r="O140" s="36">
        <f>Rådatakommune[[#This Row],[B16-O]]/Rådatakommune[[#This Row],[Landareal2016-O]]</f>
        <v>3.9291847904595287</v>
      </c>
      <c r="P140" s="36">
        <f>Rådatakommune[[#This Row],[B16-O]]/Rådatakommune[[#This Row],[Totalareal2016-O]]</f>
        <v>3.4553820963780595</v>
      </c>
      <c r="Q140" s="38">
        <f>Rådatakommune[[#This Row],[B16-O]]/Rådatakommune[[#This Row],[B06-O]]-1</f>
        <v>-4.9320388349514577E-2</v>
      </c>
      <c r="R140" s="24">
        <f>Rådatakommune[[#This Row],[Kvinner20-39-O]]/Rådatakommune[[#This Row],[B16-O]]</f>
        <v>8.9869281045751634E-2</v>
      </c>
      <c r="S140" s="24">
        <f>Rådatakommune[[#This Row],[Eldre67+-O]]/Rådatakommune[[#This Row],[B16-O]]</f>
        <v>0.19403594771241831</v>
      </c>
      <c r="T140" s="24">
        <f>Rådatakommune[[#This Row],[S15-O]]/Rådatakommune[[#This Row],[S05-O]]-1</f>
        <v>5.4104477611940371E-2</v>
      </c>
      <c r="U140" s="24">
        <f>Rådatakommune[[#This Row],[Y15-O]]/Rådatakommune[[#This Row],[Folk20-64-O]]</f>
        <v>0.9078855547801814</v>
      </c>
    </row>
    <row r="141" spans="1:21" x14ac:dyDescent="0.3">
      <c r="A141" s="2" t="s">
        <v>139</v>
      </c>
      <c r="B141" s="37">
        <v>1407</v>
      </c>
      <c r="C141" s="37">
        <v>1443</v>
      </c>
      <c r="D141" s="37">
        <v>735</v>
      </c>
      <c r="E141" s="40">
        <v>252</v>
      </c>
      <c r="F141" s="41">
        <v>143</v>
      </c>
      <c r="G141">
        <v>830</v>
      </c>
      <c r="H141" s="46">
        <v>560</v>
      </c>
      <c r="I141" s="37">
        <v>628</v>
      </c>
      <c r="J141" s="42">
        <v>785.92</v>
      </c>
      <c r="K141" s="5">
        <v>905.18</v>
      </c>
      <c r="L141" s="37">
        <v>365500</v>
      </c>
      <c r="M141" s="43">
        <v>172.9</v>
      </c>
      <c r="N141">
        <v>11</v>
      </c>
      <c r="O141" s="36">
        <f>Rådatakommune[[#This Row],[B16-O]]/Rådatakommune[[#This Row],[Landareal2016-O]]</f>
        <v>1.8360647394136809</v>
      </c>
      <c r="P141" s="36">
        <f>Rådatakommune[[#This Row],[B16-O]]/Rådatakommune[[#This Row],[Totalareal2016-O]]</f>
        <v>1.594158068008573</v>
      </c>
      <c r="Q141" s="38">
        <f>Rådatakommune[[#This Row],[B16-O]]/Rådatakommune[[#This Row],[B06-O]]-1</f>
        <v>2.5586353944562878E-2</v>
      </c>
      <c r="R141" s="24">
        <f>Rådatakommune[[#This Row],[Kvinner20-39-O]]/Rådatakommune[[#This Row],[B16-O]]</f>
        <v>9.90990990990991E-2</v>
      </c>
      <c r="S141" s="24">
        <f>Rådatakommune[[#This Row],[Eldre67+-O]]/Rådatakommune[[#This Row],[B16-O]]</f>
        <v>0.17463617463617465</v>
      </c>
      <c r="T141" s="24">
        <f>Rådatakommune[[#This Row],[S15-O]]/Rådatakommune[[#This Row],[S05-O]]-1</f>
        <v>0.12142857142857144</v>
      </c>
      <c r="U141" s="24">
        <f>Rådatakommune[[#This Row],[Y15-O]]/Rådatakommune[[#This Row],[Folk20-64-O]]</f>
        <v>0.88554216867469882</v>
      </c>
    </row>
    <row r="142" spans="1:21" x14ac:dyDescent="0.3">
      <c r="A142" s="2" t="s">
        <v>140</v>
      </c>
      <c r="B142" s="37">
        <v>1369</v>
      </c>
      <c r="C142" s="37">
        <v>1323</v>
      </c>
      <c r="D142" s="37">
        <v>651</v>
      </c>
      <c r="E142" s="40">
        <v>225</v>
      </c>
      <c r="F142" s="41">
        <v>138</v>
      </c>
      <c r="G142">
        <v>737</v>
      </c>
      <c r="H142" s="46">
        <v>535</v>
      </c>
      <c r="I142" s="37">
        <v>530</v>
      </c>
      <c r="J142" s="42">
        <v>1106.81</v>
      </c>
      <c r="K142" s="5">
        <v>1280.1399999999999</v>
      </c>
      <c r="L142" s="37">
        <v>354000</v>
      </c>
      <c r="M142" s="43">
        <v>194</v>
      </c>
      <c r="N142">
        <v>11</v>
      </c>
      <c r="O142" s="36">
        <f>Rådatakommune[[#This Row],[B16-O]]/Rådatakommune[[#This Row],[Landareal2016-O]]</f>
        <v>1.1953271112476396</v>
      </c>
      <c r="P142" s="36">
        <f>Rådatakommune[[#This Row],[B16-O]]/Rådatakommune[[#This Row],[Totalareal2016-O]]</f>
        <v>1.0334807130470105</v>
      </c>
      <c r="Q142" s="38">
        <f>Rådatakommune[[#This Row],[B16-O]]/Rådatakommune[[#This Row],[B06-O]]-1</f>
        <v>-3.3601168736303921E-2</v>
      </c>
      <c r="R142" s="24">
        <f>Rådatakommune[[#This Row],[Kvinner20-39-O]]/Rådatakommune[[#This Row],[B16-O]]</f>
        <v>0.10430839002267574</v>
      </c>
      <c r="S142" s="24">
        <f>Rådatakommune[[#This Row],[Eldre67+-O]]/Rådatakommune[[#This Row],[B16-O]]</f>
        <v>0.17006802721088435</v>
      </c>
      <c r="T142" s="24">
        <f>Rådatakommune[[#This Row],[S15-O]]/Rådatakommune[[#This Row],[S05-O]]-1</f>
        <v>-9.3457943925233655E-3</v>
      </c>
      <c r="U142" s="24">
        <f>Rådatakommune[[#This Row],[Y15-O]]/Rådatakommune[[#This Row],[Folk20-64-O]]</f>
        <v>0.88331071913161463</v>
      </c>
    </row>
    <row r="143" spans="1:21" x14ac:dyDescent="0.3">
      <c r="A143" s="2" t="s">
        <v>141</v>
      </c>
      <c r="B143" s="37">
        <v>2417</v>
      </c>
      <c r="C143" s="37">
        <v>2246</v>
      </c>
      <c r="D143" s="37">
        <v>1153</v>
      </c>
      <c r="E143" s="40">
        <v>417</v>
      </c>
      <c r="F143" s="41">
        <v>182</v>
      </c>
      <c r="G143">
        <v>1241</v>
      </c>
      <c r="H143" s="46">
        <v>1025</v>
      </c>
      <c r="I143" s="37">
        <v>1000</v>
      </c>
      <c r="J143" s="42">
        <v>904.58</v>
      </c>
      <c r="K143" s="5">
        <v>984.48</v>
      </c>
      <c r="L143" s="37">
        <v>390200</v>
      </c>
      <c r="M143" s="43">
        <v>175.6</v>
      </c>
      <c r="N143">
        <v>10</v>
      </c>
      <c r="O143" s="36">
        <f>Rådatakommune[[#This Row],[B16-O]]/Rådatakommune[[#This Row],[Landareal2016-O]]</f>
        <v>2.4829202502818988</v>
      </c>
      <c r="P143" s="36">
        <f>Rådatakommune[[#This Row],[B16-O]]/Rådatakommune[[#This Row],[Totalareal2016-O]]</f>
        <v>2.2814074435234843</v>
      </c>
      <c r="Q143" s="38">
        <f>Rådatakommune[[#This Row],[B16-O]]/Rådatakommune[[#This Row],[B06-O]]-1</f>
        <v>-7.0748862225899822E-2</v>
      </c>
      <c r="R143" s="24">
        <f>Rådatakommune[[#This Row],[Kvinner20-39-O]]/Rådatakommune[[#This Row],[B16-O]]</f>
        <v>8.1032947462154947E-2</v>
      </c>
      <c r="S143" s="24">
        <f>Rådatakommune[[#This Row],[Eldre67+-O]]/Rådatakommune[[#This Row],[B16-O]]</f>
        <v>0.1856634016028495</v>
      </c>
      <c r="T143" s="24">
        <f>Rådatakommune[[#This Row],[S15-O]]/Rådatakommune[[#This Row],[S05-O]]-1</f>
        <v>-2.4390243902439046E-2</v>
      </c>
      <c r="U143" s="24">
        <f>Rådatakommune[[#This Row],[Y15-O]]/Rådatakommune[[#This Row],[Folk20-64-O]]</f>
        <v>0.92908944399677684</v>
      </c>
    </row>
    <row r="144" spans="1:21" x14ac:dyDescent="0.3">
      <c r="A144" s="2" t="s">
        <v>142</v>
      </c>
      <c r="B144" s="37">
        <v>3694</v>
      </c>
      <c r="C144" s="37">
        <v>3727</v>
      </c>
      <c r="D144" s="37">
        <v>2018</v>
      </c>
      <c r="E144" s="40">
        <v>662</v>
      </c>
      <c r="F144" s="41">
        <v>404</v>
      </c>
      <c r="G144">
        <v>2118</v>
      </c>
      <c r="H144" s="46">
        <v>1627</v>
      </c>
      <c r="I144" s="37">
        <v>1773</v>
      </c>
      <c r="J144" s="42">
        <v>2724.83</v>
      </c>
      <c r="K144" s="5">
        <v>3105.84</v>
      </c>
      <c r="L144" s="37">
        <v>400500</v>
      </c>
      <c r="M144" s="43">
        <v>168.283333333</v>
      </c>
      <c r="N144">
        <v>10</v>
      </c>
      <c r="O144" s="36">
        <f>Rådatakommune[[#This Row],[B16-O]]/Rådatakommune[[#This Row],[Landareal2016-O]]</f>
        <v>1.3677917521460055</v>
      </c>
      <c r="P144" s="36">
        <f>Rådatakommune[[#This Row],[B16-O]]/Rådatakommune[[#This Row],[Totalareal2016-O]]</f>
        <v>1.1999974242072997</v>
      </c>
      <c r="Q144" s="38">
        <f>Rådatakommune[[#This Row],[B16-O]]/Rådatakommune[[#This Row],[B06-O]]-1</f>
        <v>8.9334055224687958E-3</v>
      </c>
      <c r="R144" s="24">
        <f>Rådatakommune[[#This Row],[Kvinner20-39-O]]/Rådatakommune[[#This Row],[B16-O]]</f>
        <v>0.10839817547625435</v>
      </c>
      <c r="S144" s="24">
        <f>Rådatakommune[[#This Row],[Eldre67+-O]]/Rådatakommune[[#This Row],[B16-O]]</f>
        <v>0.17762275288435739</v>
      </c>
      <c r="T144" s="24">
        <f>Rådatakommune[[#This Row],[S15-O]]/Rådatakommune[[#This Row],[S05-O]]-1</f>
        <v>8.973570989551316E-2</v>
      </c>
      <c r="U144" s="24">
        <f>Rådatakommune[[#This Row],[Y15-O]]/Rådatakommune[[#This Row],[Folk20-64-O]]</f>
        <v>0.95278564683663836</v>
      </c>
    </row>
    <row r="145" spans="1:21" x14ac:dyDescent="0.3">
      <c r="A145" s="2" t="s">
        <v>143</v>
      </c>
      <c r="B145" s="37">
        <v>6863</v>
      </c>
      <c r="C145" s="37">
        <v>6920</v>
      </c>
      <c r="D145" s="37">
        <v>3015</v>
      </c>
      <c r="E145" s="40">
        <v>1285</v>
      </c>
      <c r="F145" s="41">
        <v>706</v>
      </c>
      <c r="G145">
        <v>3868</v>
      </c>
      <c r="H145" s="46">
        <v>2579</v>
      </c>
      <c r="I145" s="37">
        <v>2549</v>
      </c>
      <c r="J145" s="42">
        <v>179.03</v>
      </c>
      <c r="K145" s="5">
        <v>192.98</v>
      </c>
      <c r="L145" s="37">
        <v>372000</v>
      </c>
      <c r="M145" s="43">
        <v>159.41666666699999</v>
      </c>
      <c r="N145">
        <v>5</v>
      </c>
      <c r="O145" s="36">
        <f>Rådatakommune[[#This Row],[B16-O]]/Rådatakommune[[#This Row],[Landareal2016-O]]</f>
        <v>38.652739764285315</v>
      </c>
      <c r="P145" s="36">
        <f>Rådatakommune[[#This Row],[B16-O]]/Rådatakommune[[#This Row],[Totalareal2016-O]]</f>
        <v>35.858638200849832</v>
      </c>
      <c r="Q145" s="38">
        <f>Rådatakommune[[#This Row],[B16-O]]/Rådatakommune[[#This Row],[B06-O]]-1</f>
        <v>8.305405799213128E-3</v>
      </c>
      <c r="R145" s="24">
        <f>Rådatakommune[[#This Row],[Kvinner20-39-O]]/Rådatakommune[[#This Row],[B16-O]]</f>
        <v>0.10202312138728324</v>
      </c>
      <c r="S145" s="24">
        <f>Rådatakommune[[#This Row],[Eldre67+-O]]/Rådatakommune[[#This Row],[B16-O]]</f>
        <v>0.18569364161849711</v>
      </c>
      <c r="T145" s="24">
        <f>Rådatakommune[[#This Row],[S15-O]]/Rådatakommune[[#This Row],[S05-O]]-1</f>
        <v>-1.1632415664986406E-2</v>
      </c>
      <c r="U145" s="24">
        <f>Rådatakommune[[#This Row],[Y15-O]]/Rådatakommune[[#This Row],[Folk20-64-O]]</f>
        <v>0.77947259565667015</v>
      </c>
    </row>
    <row r="146" spans="1:21" x14ac:dyDescent="0.3">
      <c r="A146" s="2" t="s">
        <v>144</v>
      </c>
      <c r="B146" s="37">
        <v>19224</v>
      </c>
      <c r="C146" s="37">
        <v>22550</v>
      </c>
      <c r="D146" s="37">
        <v>10237</v>
      </c>
      <c r="E146" s="40">
        <v>3042</v>
      </c>
      <c r="F146" s="41">
        <v>2890</v>
      </c>
      <c r="G146">
        <v>13117</v>
      </c>
      <c r="H146" s="46">
        <v>7877</v>
      </c>
      <c r="I146" s="37">
        <v>8221</v>
      </c>
      <c r="J146" s="42">
        <v>272.37</v>
      </c>
      <c r="K146" s="5">
        <v>303.59000000000003</v>
      </c>
      <c r="L146" s="37">
        <v>416100</v>
      </c>
      <c r="M146" s="43">
        <v>175.76666666670002</v>
      </c>
      <c r="N146">
        <v>4</v>
      </c>
      <c r="O146" s="36">
        <f>Rådatakommune[[#This Row],[B16-O]]/Rådatakommune[[#This Row],[Landareal2016-O]]</f>
        <v>82.791790578991808</v>
      </c>
      <c r="P146" s="36">
        <f>Rådatakommune[[#This Row],[B16-O]]/Rådatakommune[[#This Row],[Totalareal2016-O]]</f>
        <v>74.277808886985724</v>
      </c>
      <c r="Q146" s="38">
        <f>Rådatakommune[[#This Row],[B16-O]]/Rådatakommune[[#This Row],[B06-O]]-1</f>
        <v>0.17301290054099039</v>
      </c>
      <c r="R146" s="24">
        <f>Rådatakommune[[#This Row],[Kvinner20-39-O]]/Rådatakommune[[#This Row],[B16-O]]</f>
        <v>0.12815964523281598</v>
      </c>
      <c r="S146" s="24">
        <f>Rådatakommune[[#This Row],[Eldre67+-O]]/Rådatakommune[[#This Row],[B16-O]]</f>
        <v>0.13490022172949001</v>
      </c>
      <c r="T146" s="24">
        <f>Rådatakommune[[#This Row],[S15-O]]/Rådatakommune[[#This Row],[S05-O]]-1</f>
        <v>4.367144852101057E-2</v>
      </c>
      <c r="U146" s="24">
        <f>Rådatakommune[[#This Row],[Y15-O]]/Rådatakommune[[#This Row],[Folk20-64-O]]</f>
        <v>0.7804376000609895</v>
      </c>
    </row>
    <row r="147" spans="1:21" x14ac:dyDescent="0.3">
      <c r="A147" s="2" t="s">
        <v>145</v>
      </c>
      <c r="B147" s="37">
        <v>39826</v>
      </c>
      <c r="C147" s="37">
        <v>44313</v>
      </c>
      <c r="D147" s="37">
        <v>20023</v>
      </c>
      <c r="E147" s="40">
        <v>6664</v>
      </c>
      <c r="F147" s="41">
        <v>5274</v>
      </c>
      <c r="G147">
        <v>25920</v>
      </c>
      <c r="H147" s="46">
        <v>19175</v>
      </c>
      <c r="I147" s="37">
        <v>21016</v>
      </c>
      <c r="J147" s="42">
        <v>255.14</v>
      </c>
      <c r="K147" s="5">
        <v>270.07</v>
      </c>
      <c r="L147" s="37">
        <v>394000</v>
      </c>
      <c r="M147" s="43">
        <v>179.1</v>
      </c>
      <c r="N147">
        <v>4</v>
      </c>
      <c r="O147" s="36">
        <f>Rådatakommune[[#This Row],[B16-O]]/Rådatakommune[[#This Row],[Landareal2016-O]]</f>
        <v>173.68111624990203</v>
      </c>
      <c r="P147" s="36">
        <f>Rådatakommune[[#This Row],[B16-O]]/Rådatakommune[[#This Row],[Totalareal2016-O]]</f>
        <v>164.07968304513645</v>
      </c>
      <c r="Q147" s="38">
        <f>Rådatakommune[[#This Row],[B16-O]]/Rådatakommune[[#This Row],[B06-O]]-1</f>
        <v>0.11266509315522533</v>
      </c>
      <c r="R147" s="24">
        <f>Rådatakommune[[#This Row],[Kvinner20-39-O]]/Rådatakommune[[#This Row],[B16-O]]</f>
        <v>0.11901699275607609</v>
      </c>
      <c r="S147" s="24">
        <f>Rådatakommune[[#This Row],[Eldre67+-O]]/Rådatakommune[[#This Row],[B16-O]]</f>
        <v>0.15038476293638436</v>
      </c>
      <c r="T147" s="24">
        <f>Rådatakommune[[#This Row],[S15-O]]/Rådatakommune[[#This Row],[S05-O]]-1</f>
        <v>9.6010430247718492E-2</v>
      </c>
      <c r="U147" s="24">
        <f>Rådatakommune[[#This Row],[Y15-O]]/Rådatakommune[[#This Row],[Folk20-64-O]]</f>
        <v>0.77249228395061731</v>
      </c>
    </row>
    <row r="148" spans="1:21" x14ac:dyDescent="0.3">
      <c r="A148" s="2" t="s">
        <v>146</v>
      </c>
      <c r="B148" s="37">
        <v>2506</v>
      </c>
      <c r="C148" s="37">
        <v>2473</v>
      </c>
      <c r="D148" s="37">
        <v>1117</v>
      </c>
      <c r="E148" s="40">
        <v>436</v>
      </c>
      <c r="F148" s="41">
        <v>252</v>
      </c>
      <c r="G148">
        <v>1418</v>
      </c>
      <c r="H148" s="46">
        <v>930</v>
      </c>
      <c r="I148" s="37">
        <v>859</v>
      </c>
      <c r="J148" s="42">
        <v>307.64999999999998</v>
      </c>
      <c r="K148" s="5">
        <v>322.14</v>
      </c>
      <c r="L148" s="37">
        <v>348200</v>
      </c>
      <c r="M148" s="43">
        <v>146.4</v>
      </c>
      <c r="N148">
        <v>5</v>
      </c>
      <c r="O148" s="36">
        <f>Rådatakommune[[#This Row],[B16-O]]/Rådatakommune[[#This Row],[Landareal2016-O]]</f>
        <v>8.0383552738501542</v>
      </c>
      <c r="P148" s="36">
        <f>Rådatakommune[[#This Row],[B16-O]]/Rådatakommune[[#This Row],[Totalareal2016-O]]</f>
        <v>7.6767864903458127</v>
      </c>
      <c r="Q148" s="38">
        <f>Rådatakommune[[#This Row],[B16-O]]/Rådatakommune[[#This Row],[B06-O]]-1</f>
        <v>-1.3168395849960102E-2</v>
      </c>
      <c r="R148" s="24">
        <f>Rådatakommune[[#This Row],[Kvinner20-39-O]]/Rådatakommune[[#This Row],[B16-O]]</f>
        <v>0.101900525677315</v>
      </c>
      <c r="S148" s="24">
        <f>Rådatakommune[[#This Row],[Eldre67+-O]]/Rådatakommune[[#This Row],[B16-O]]</f>
        <v>0.1763040841083704</v>
      </c>
      <c r="T148" s="24">
        <f>Rådatakommune[[#This Row],[S15-O]]/Rådatakommune[[#This Row],[S05-O]]-1</f>
        <v>-7.6344086021505331E-2</v>
      </c>
      <c r="U148" s="24">
        <f>Rådatakommune[[#This Row],[Y15-O]]/Rådatakommune[[#This Row],[Folk20-64-O]]</f>
        <v>0.78772919605077574</v>
      </c>
    </row>
    <row r="149" spans="1:21" x14ac:dyDescent="0.3">
      <c r="A149" s="2" t="s">
        <v>147</v>
      </c>
      <c r="B149" s="37">
        <v>1849</v>
      </c>
      <c r="C149" s="37">
        <v>2036</v>
      </c>
      <c r="D149" s="37">
        <v>964</v>
      </c>
      <c r="E149" s="40">
        <v>304</v>
      </c>
      <c r="F149" s="41">
        <v>230</v>
      </c>
      <c r="G149">
        <v>1151</v>
      </c>
      <c r="H149" s="46">
        <v>604</v>
      </c>
      <c r="I149" s="37">
        <v>601</v>
      </c>
      <c r="J149" s="42">
        <v>321.77999999999997</v>
      </c>
      <c r="K149" s="5">
        <v>355.65</v>
      </c>
      <c r="L149" s="37">
        <v>355900</v>
      </c>
      <c r="M149" s="43">
        <v>154.383333333</v>
      </c>
      <c r="N149">
        <v>4</v>
      </c>
      <c r="O149" s="36">
        <f>Rådatakommune[[#This Row],[B16-O]]/Rådatakommune[[#This Row],[Landareal2016-O]]</f>
        <v>6.3273043694449633</v>
      </c>
      <c r="P149" s="36">
        <f>Rådatakommune[[#This Row],[B16-O]]/Rådatakommune[[#This Row],[Totalareal2016-O]]</f>
        <v>5.7247293687614231</v>
      </c>
      <c r="Q149" s="38">
        <f>Rådatakommune[[#This Row],[B16-O]]/Rådatakommune[[#This Row],[B06-O]]-1</f>
        <v>0.1011357490535425</v>
      </c>
      <c r="R149" s="24">
        <f>Rådatakommune[[#This Row],[Kvinner20-39-O]]/Rådatakommune[[#This Row],[B16-O]]</f>
        <v>0.11296660117878192</v>
      </c>
      <c r="S149" s="24">
        <f>Rådatakommune[[#This Row],[Eldre67+-O]]/Rådatakommune[[#This Row],[B16-O]]</f>
        <v>0.14931237721021612</v>
      </c>
      <c r="T149" s="24">
        <f>Rådatakommune[[#This Row],[S15-O]]/Rådatakommune[[#This Row],[S05-O]]-1</f>
        <v>-4.9668874172185129E-3</v>
      </c>
      <c r="U149" s="24">
        <f>Rådatakommune[[#This Row],[Y15-O]]/Rådatakommune[[#This Row],[Folk20-64-O]]</f>
        <v>0.83753258036490008</v>
      </c>
    </row>
    <row r="150" spans="1:21" x14ac:dyDescent="0.3">
      <c r="A150" s="2" t="s">
        <v>148</v>
      </c>
      <c r="B150" s="37">
        <v>5838</v>
      </c>
      <c r="C150" s="37">
        <v>6014</v>
      </c>
      <c r="D150" s="37">
        <v>2596</v>
      </c>
      <c r="E150" s="40">
        <v>1060</v>
      </c>
      <c r="F150" s="41">
        <v>677</v>
      </c>
      <c r="G150">
        <v>3386</v>
      </c>
      <c r="H150" s="46">
        <v>2260</v>
      </c>
      <c r="I150" s="37">
        <v>2250</v>
      </c>
      <c r="J150" s="42">
        <v>203.94</v>
      </c>
      <c r="K150" s="5">
        <v>217.60999999999999</v>
      </c>
      <c r="L150" s="37">
        <v>370700</v>
      </c>
      <c r="M150" s="43">
        <v>160.98333333299999</v>
      </c>
      <c r="N150">
        <v>4</v>
      </c>
      <c r="O150" s="36">
        <f>Rådatakommune[[#This Row],[B16-O]]/Rådatakommune[[#This Row],[Landareal2016-O]]</f>
        <v>29.489065411395508</v>
      </c>
      <c r="P150" s="36">
        <f>Rådatakommune[[#This Row],[B16-O]]/Rådatakommune[[#This Row],[Totalareal2016-O]]</f>
        <v>27.636597582831673</v>
      </c>
      <c r="Q150" s="38">
        <f>Rådatakommune[[#This Row],[B16-O]]/Rådatakommune[[#This Row],[B06-O]]-1</f>
        <v>3.0147310722850262E-2</v>
      </c>
      <c r="R150" s="24">
        <f>Rådatakommune[[#This Row],[Kvinner20-39-O]]/Rådatakommune[[#This Row],[B16-O]]</f>
        <v>0.11257066844030596</v>
      </c>
      <c r="S150" s="24">
        <f>Rådatakommune[[#This Row],[Eldre67+-O]]/Rådatakommune[[#This Row],[B16-O]]</f>
        <v>0.17625540405719986</v>
      </c>
      <c r="T150" s="24">
        <f>Rådatakommune[[#This Row],[S15-O]]/Rådatakommune[[#This Row],[S05-O]]-1</f>
        <v>-4.4247787610619538E-3</v>
      </c>
      <c r="U150" s="24">
        <f>Rådatakommune[[#This Row],[Y15-O]]/Rådatakommune[[#This Row],[Folk20-64-O]]</f>
        <v>0.76668635558180742</v>
      </c>
    </row>
    <row r="151" spans="1:21" x14ac:dyDescent="0.3">
      <c r="A151" s="2" t="s">
        <v>149</v>
      </c>
      <c r="B151" s="37">
        <v>4764</v>
      </c>
      <c r="C151" s="37">
        <v>5618</v>
      </c>
      <c r="D151" s="37">
        <v>2650</v>
      </c>
      <c r="E151" s="40">
        <v>698</v>
      </c>
      <c r="F151" s="41">
        <v>725</v>
      </c>
      <c r="G151">
        <v>3286</v>
      </c>
      <c r="H151" s="46">
        <v>1216</v>
      </c>
      <c r="I151" s="37">
        <v>1382</v>
      </c>
      <c r="J151" s="42">
        <v>601.02</v>
      </c>
      <c r="K151" s="5">
        <v>644.54</v>
      </c>
      <c r="L151" s="37">
        <v>372300</v>
      </c>
      <c r="M151" s="43">
        <v>181.4</v>
      </c>
      <c r="N151">
        <v>4</v>
      </c>
      <c r="O151" s="36">
        <f>Rådatakommune[[#This Row],[B16-O]]/Rådatakommune[[#This Row],[Landareal2016-O]]</f>
        <v>9.3474426807760143</v>
      </c>
      <c r="P151" s="36">
        <f>Rådatakommune[[#This Row],[B16-O]]/Rådatakommune[[#This Row],[Totalareal2016-O]]</f>
        <v>8.7162937909206573</v>
      </c>
      <c r="Q151" s="38">
        <f>Rådatakommune[[#This Row],[B16-O]]/Rådatakommune[[#This Row],[B06-O]]-1</f>
        <v>0.17926112510495384</v>
      </c>
      <c r="R151" s="24">
        <f>Rådatakommune[[#This Row],[Kvinner20-39-O]]/Rådatakommune[[#This Row],[B16-O]]</f>
        <v>0.1290494838020648</v>
      </c>
      <c r="S151" s="24">
        <f>Rådatakommune[[#This Row],[Eldre67+-O]]/Rådatakommune[[#This Row],[B16-O]]</f>
        <v>0.1242435030259879</v>
      </c>
      <c r="T151" s="24">
        <f>Rådatakommune[[#This Row],[S15-O]]/Rådatakommune[[#This Row],[S05-O]]-1</f>
        <v>0.13651315789473695</v>
      </c>
      <c r="U151" s="24">
        <f>Rådatakommune[[#This Row],[Y15-O]]/Rådatakommune[[#This Row],[Folk20-64-O]]</f>
        <v>0.80645161290322576</v>
      </c>
    </row>
    <row r="152" spans="1:21" x14ac:dyDescent="0.3">
      <c r="A152" s="2" t="s">
        <v>150</v>
      </c>
      <c r="B152" s="37">
        <v>9030</v>
      </c>
      <c r="C152" s="37">
        <v>10577</v>
      </c>
      <c r="D152" s="37">
        <v>5018</v>
      </c>
      <c r="E152" s="40">
        <v>1569</v>
      </c>
      <c r="F152" s="41">
        <v>1244</v>
      </c>
      <c r="G152">
        <v>5996</v>
      </c>
      <c r="H152" s="46">
        <v>3140</v>
      </c>
      <c r="I152" s="37">
        <v>4293</v>
      </c>
      <c r="J152" s="42">
        <v>180.38</v>
      </c>
      <c r="K152" s="5">
        <v>190.41</v>
      </c>
      <c r="L152" s="37">
        <v>420600</v>
      </c>
      <c r="M152" s="43">
        <v>166.78333333329999</v>
      </c>
      <c r="N152">
        <v>2</v>
      </c>
      <c r="O152" s="36">
        <f>Rådatakommune[[#This Row],[B16-O]]/Rådatakommune[[#This Row],[Landareal2016-O]]</f>
        <v>58.637321210777252</v>
      </c>
      <c r="P152" s="36">
        <f>Rådatakommune[[#This Row],[B16-O]]/Rådatakommune[[#This Row],[Totalareal2016-O]]</f>
        <v>55.548553122209967</v>
      </c>
      <c r="Q152" s="38">
        <f>Rådatakommune[[#This Row],[B16-O]]/Rådatakommune[[#This Row],[B06-O]]-1</f>
        <v>0.17131782945736429</v>
      </c>
      <c r="R152" s="24">
        <f>Rådatakommune[[#This Row],[Kvinner20-39-O]]/Rådatakommune[[#This Row],[B16-O]]</f>
        <v>0.11761369008225395</v>
      </c>
      <c r="S152" s="24">
        <f>Rådatakommune[[#This Row],[Eldre67+-O]]/Rådatakommune[[#This Row],[B16-O]]</f>
        <v>0.14834073934007752</v>
      </c>
      <c r="T152" s="24">
        <f>Rådatakommune[[#This Row],[S15-O]]/Rådatakommune[[#This Row],[S05-O]]-1</f>
        <v>0.36719745222929934</v>
      </c>
      <c r="U152" s="24">
        <f>Rådatakommune[[#This Row],[Y15-O]]/Rådatakommune[[#This Row],[Folk20-64-O]]</f>
        <v>0.83689126084056042</v>
      </c>
    </row>
    <row r="153" spans="1:21" x14ac:dyDescent="0.3">
      <c r="A153" s="2" t="s">
        <v>151</v>
      </c>
      <c r="B153" s="37">
        <v>4387</v>
      </c>
      <c r="C153" s="37">
        <v>5147</v>
      </c>
      <c r="D153" s="37">
        <v>2412</v>
      </c>
      <c r="E153" s="40">
        <v>671</v>
      </c>
      <c r="F153" s="41">
        <v>681</v>
      </c>
      <c r="G153">
        <v>2910</v>
      </c>
      <c r="H153" s="46">
        <v>1565</v>
      </c>
      <c r="I153" s="37">
        <v>1632</v>
      </c>
      <c r="J153" s="42">
        <v>629.91</v>
      </c>
      <c r="K153" s="5">
        <v>674.20999999999992</v>
      </c>
      <c r="L153" s="37">
        <v>363300</v>
      </c>
      <c r="M153" s="43">
        <v>164.6</v>
      </c>
      <c r="N153">
        <v>2</v>
      </c>
      <c r="O153" s="36">
        <f>Rådatakommune[[#This Row],[B16-O]]/Rådatakommune[[#This Row],[Landareal2016-O]]</f>
        <v>8.1710085567779522</v>
      </c>
      <c r="P153" s="36">
        <f>Rådatakommune[[#This Row],[B16-O]]/Rådatakommune[[#This Row],[Totalareal2016-O]]</f>
        <v>7.6341199329585745</v>
      </c>
      <c r="Q153" s="38">
        <f>Rådatakommune[[#This Row],[B16-O]]/Rådatakommune[[#This Row],[B06-O]]-1</f>
        <v>0.17323911556872584</v>
      </c>
      <c r="R153" s="24">
        <f>Rådatakommune[[#This Row],[Kvinner20-39-O]]/Rådatakommune[[#This Row],[B16-O]]</f>
        <v>0.13231008354381193</v>
      </c>
      <c r="S153" s="24">
        <f>Rådatakommune[[#This Row],[Eldre67+-O]]/Rådatakommune[[#This Row],[B16-O]]</f>
        <v>0.1303672041966194</v>
      </c>
      <c r="T153" s="24">
        <f>Rådatakommune[[#This Row],[S15-O]]/Rådatakommune[[#This Row],[S05-O]]-1</f>
        <v>4.2811501597444179E-2</v>
      </c>
      <c r="U153" s="24">
        <f>Rådatakommune[[#This Row],[Y15-O]]/Rådatakommune[[#This Row],[Folk20-64-O]]</f>
        <v>0.82886597938144335</v>
      </c>
    </row>
    <row r="154" spans="1:21" x14ac:dyDescent="0.3">
      <c r="A154" s="2" t="s">
        <v>152</v>
      </c>
      <c r="B154" s="37">
        <v>1785</v>
      </c>
      <c r="C154" s="37">
        <v>1847</v>
      </c>
      <c r="D154" s="37">
        <v>831</v>
      </c>
      <c r="E154" s="40">
        <v>330</v>
      </c>
      <c r="F154" s="41">
        <v>197</v>
      </c>
      <c r="G154">
        <v>1024</v>
      </c>
      <c r="H154" s="46">
        <v>718</v>
      </c>
      <c r="I154" s="37">
        <v>728</v>
      </c>
      <c r="J154" s="42">
        <v>1058.42</v>
      </c>
      <c r="K154" s="5">
        <v>1130.6100000000001</v>
      </c>
      <c r="L154" s="37">
        <v>357600</v>
      </c>
      <c r="M154" s="43">
        <v>183.66666666699999</v>
      </c>
      <c r="N154">
        <v>4</v>
      </c>
      <c r="O154" s="36">
        <f>Rådatakommune[[#This Row],[B16-O]]/Rådatakommune[[#This Row],[Landareal2016-O]]</f>
        <v>1.7450539483380887</v>
      </c>
      <c r="P154" s="36">
        <f>Rådatakommune[[#This Row],[B16-O]]/Rådatakommune[[#This Row],[Totalareal2016-O]]</f>
        <v>1.6336314025172249</v>
      </c>
      <c r="Q154" s="38">
        <f>Rådatakommune[[#This Row],[B16-O]]/Rådatakommune[[#This Row],[B06-O]]-1</f>
        <v>3.4733893557423068E-2</v>
      </c>
      <c r="R154" s="24">
        <f>Rådatakommune[[#This Row],[Kvinner20-39-O]]/Rådatakommune[[#This Row],[B16-O]]</f>
        <v>0.10665944775311316</v>
      </c>
      <c r="S154" s="24">
        <f>Rådatakommune[[#This Row],[Eldre67+-O]]/Rådatakommune[[#This Row],[B16-O]]</f>
        <v>0.17866811044937736</v>
      </c>
      <c r="T154" s="24">
        <f>Rådatakommune[[#This Row],[S15-O]]/Rådatakommune[[#This Row],[S05-O]]-1</f>
        <v>1.3927576601671321E-2</v>
      </c>
      <c r="U154" s="24">
        <f>Rådatakommune[[#This Row],[Y15-O]]/Rådatakommune[[#This Row],[Folk20-64-O]]</f>
        <v>0.8115234375</v>
      </c>
    </row>
    <row r="155" spans="1:21" x14ac:dyDescent="0.3">
      <c r="A155" s="2" t="s">
        <v>153</v>
      </c>
      <c r="B155" s="37">
        <v>1170</v>
      </c>
      <c r="C155" s="37">
        <v>1317</v>
      </c>
      <c r="D155" s="37">
        <v>645</v>
      </c>
      <c r="E155" s="40">
        <v>164</v>
      </c>
      <c r="F155" s="41">
        <v>171</v>
      </c>
      <c r="G155">
        <v>773</v>
      </c>
      <c r="H155" s="46">
        <v>327</v>
      </c>
      <c r="I155" s="37">
        <v>487</v>
      </c>
      <c r="J155" s="42">
        <v>246.3</v>
      </c>
      <c r="K155" s="5">
        <v>261.63</v>
      </c>
      <c r="L155" s="37">
        <v>354600</v>
      </c>
      <c r="M155" s="43">
        <v>180.55</v>
      </c>
      <c r="N155">
        <v>2</v>
      </c>
      <c r="O155" s="36">
        <f>Rådatakommune[[#This Row],[B16-O]]/Rådatakommune[[#This Row],[Landareal2016-O]]</f>
        <v>5.3471376370280144</v>
      </c>
      <c r="P155" s="36">
        <f>Rådatakommune[[#This Row],[B16-O]]/Rådatakommune[[#This Row],[Totalareal2016-O]]</f>
        <v>5.0338263960554981</v>
      </c>
      <c r="Q155" s="38">
        <f>Rådatakommune[[#This Row],[B16-O]]/Rådatakommune[[#This Row],[B06-O]]-1</f>
        <v>0.12564102564102564</v>
      </c>
      <c r="R155" s="24">
        <f>Rådatakommune[[#This Row],[Kvinner20-39-O]]/Rådatakommune[[#This Row],[B16-O]]</f>
        <v>0.12984054669703873</v>
      </c>
      <c r="S155" s="24">
        <f>Rådatakommune[[#This Row],[Eldre67+-O]]/Rådatakommune[[#This Row],[B16-O]]</f>
        <v>0.12452543659832954</v>
      </c>
      <c r="T155" s="24">
        <f>Rådatakommune[[#This Row],[S15-O]]/Rådatakommune[[#This Row],[S05-O]]-1</f>
        <v>0.48929663608562701</v>
      </c>
      <c r="U155" s="24">
        <f>Rådatakommune[[#This Row],[Y15-O]]/Rådatakommune[[#This Row],[Folk20-64-O]]</f>
        <v>0.83441138421733507</v>
      </c>
    </row>
    <row r="156" spans="1:21" x14ac:dyDescent="0.3">
      <c r="A156" s="2" t="s">
        <v>154</v>
      </c>
      <c r="B156" s="37">
        <v>3324</v>
      </c>
      <c r="C156" s="37">
        <v>3582</v>
      </c>
      <c r="D156" s="37">
        <v>1690</v>
      </c>
      <c r="E156" s="40">
        <v>595</v>
      </c>
      <c r="F156" s="41">
        <v>423</v>
      </c>
      <c r="G156">
        <v>1969</v>
      </c>
      <c r="H156" s="46">
        <v>1441</v>
      </c>
      <c r="I156" s="37">
        <v>1609</v>
      </c>
      <c r="J156" s="42">
        <v>514.72</v>
      </c>
      <c r="K156" s="5">
        <v>550.23</v>
      </c>
      <c r="L156" s="37">
        <v>361700</v>
      </c>
      <c r="M156" s="43">
        <v>198.0666666667</v>
      </c>
      <c r="N156">
        <v>5</v>
      </c>
      <c r="O156" s="36">
        <f>Rådatakommune[[#This Row],[B16-O]]/Rådatakommune[[#This Row],[Landareal2016-O]]</f>
        <v>6.9591234069008392</v>
      </c>
      <c r="P156" s="36">
        <f>Rådatakommune[[#This Row],[B16-O]]/Rådatakommune[[#This Row],[Totalareal2016-O]]</f>
        <v>6.5100049070388746</v>
      </c>
      <c r="Q156" s="38">
        <f>Rådatakommune[[#This Row],[B16-O]]/Rådatakommune[[#This Row],[B06-O]]-1</f>
        <v>7.7617328519855588E-2</v>
      </c>
      <c r="R156" s="24">
        <f>Rådatakommune[[#This Row],[Kvinner20-39-O]]/Rådatakommune[[#This Row],[B16-O]]</f>
        <v>0.11809045226130653</v>
      </c>
      <c r="S156" s="24">
        <f>Rådatakommune[[#This Row],[Eldre67+-O]]/Rådatakommune[[#This Row],[B16-O]]</f>
        <v>0.16610831937465104</v>
      </c>
      <c r="T156" s="24">
        <f>Rådatakommune[[#This Row],[S15-O]]/Rådatakommune[[#This Row],[S05-O]]-1</f>
        <v>0.11658570437196381</v>
      </c>
      <c r="U156" s="24">
        <f>Rådatakommune[[#This Row],[Y15-O]]/Rådatakommune[[#This Row],[Folk20-64-O]]</f>
        <v>0.8583037074657186</v>
      </c>
    </row>
    <row r="157" spans="1:21" x14ac:dyDescent="0.3">
      <c r="A157" s="2" t="s">
        <v>155</v>
      </c>
      <c r="B157" s="37">
        <v>1296</v>
      </c>
      <c r="C157" s="37">
        <v>1204</v>
      </c>
      <c r="D157" s="37">
        <v>582</v>
      </c>
      <c r="E157" s="40">
        <v>217</v>
      </c>
      <c r="F157" s="41">
        <v>117</v>
      </c>
      <c r="G157">
        <v>689</v>
      </c>
      <c r="H157" s="46">
        <v>571</v>
      </c>
      <c r="I157" s="37">
        <v>501</v>
      </c>
      <c r="J157" s="42">
        <v>1150.25</v>
      </c>
      <c r="K157" s="5">
        <v>1311.66</v>
      </c>
      <c r="L157" s="37">
        <v>373300</v>
      </c>
      <c r="M157" s="43">
        <v>223.9166666667</v>
      </c>
      <c r="N157">
        <v>5</v>
      </c>
      <c r="O157" s="36">
        <f>Rådatakommune[[#This Row],[B16-O]]/Rådatakommune[[#This Row],[Landareal2016-O]]</f>
        <v>1.0467289719626167</v>
      </c>
      <c r="P157" s="36">
        <f>Rådatakommune[[#This Row],[B16-O]]/Rådatakommune[[#This Row],[Totalareal2016-O]]</f>
        <v>0.91792080264702736</v>
      </c>
      <c r="Q157" s="38">
        <f>Rådatakommune[[#This Row],[B16-O]]/Rådatakommune[[#This Row],[B06-O]]-1</f>
        <v>-7.0987654320987637E-2</v>
      </c>
      <c r="R157" s="24">
        <f>Rådatakommune[[#This Row],[Kvinner20-39-O]]/Rådatakommune[[#This Row],[B16-O]]</f>
        <v>9.7176079734219267E-2</v>
      </c>
      <c r="S157" s="24">
        <f>Rådatakommune[[#This Row],[Eldre67+-O]]/Rådatakommune[[#This Row],[B16-O]]</f>
        <v>0.18023255813953487</v>
      </c>
      <c r="T157" s="24">
        <f>Rådatakommune[[#This Row],[S15-O]]/Rådatakommune[[#This Row],[S05-O]]-1</f>
        <v>-0.12259194395796846</v>
      </c>
      <c r="U157" s="24">
        <f>Rådatakommune[[#This Row],[Y15-O]]/Rådatakommune[[#This Row],[Folk20-64-O]]</f>
        <v>0.8447024673439768</v>
      </c>
    </row>
    <row r="158" spans="1:21" x14ac:dyDescent="0.3">
      <c r="A158" s="2" t="s">
        <v>156</v>
      </c>
      <c r="B158" s="37">
        <v>1348</v>
      </c>
      <c r="C158" s="37">
        <v>1242</v>
      </c>
      <c r="D158" s="37">
        <v>651</v>
      </c>
      <c r="E158" s="40">
        <v>206</v>
      </c>
      <c r="F158" s="41">
        <v>122</v>
      </c>
      <c r="G158">
        <v>705</v>
      </c>
      <c r="H158" s="46">
        <v>666</v>
      </c>
      <c r="I158" s="37">
        <v>585</v>
      </c>
      <c r="J158" s="42">
        <v>1131.8399999999999</v>
      </c>
      <c r="K158" s="5">
        <v>1265.31</v>
      </c>
      <c r="L158" s="37">
        <v>390600</v>
      </c>
      <c r="M158" s="43">
        <v>222.08333333300001</v>
      </c>
      <c r="N158">
        <v>11</v>
      </c>
      <c r="O158" s="36">
        <f>Rådatakommune[[#This Row],[B16-O]]/Rådatakommune[[#This Row],[Landareal2016-O]]</f>
        <v>1.0973282442748094</v>
      </c>
      <c r="P158" s="36">
        <f>Rådatakommune[[#This Row],[B16-O]]/Rådatakommune[[#This Row],[Totalareal2016-O]]</f>
        <v>0.9815776371007896</v>
      </c>
      <c r="Q158" s="38">
        <f>Rådatakommune[[#This Row],[B16-O]]/Rådatakommune[[#This Row],[B06-O]]-1</f>
        <v>-7.8635014836795247E-2</v>
      </c>
      <c r="R158" s="24">
        <f>Rådatakommune[[#This Row],[Kvinner20-39-O]]/Rådatakommune[[#This Row],[B16-O]]</f>
        <v>9.8228663446054756E-2</v>
      </c>
      <c r="S158" s="24">
        <f>Rådatakommune[[#This Row],[Eldre67+-O]]/Rådatakommune[[#This Row],[B16-O]]</f>
        <v>0.16586151368760063</v>
      </c>
      <c r="T158" s="24">
        <f>Rådatakommune[[#This Row],[S15-O]]/Rådatakommune[[#This Row],[S05-O]]-1</f>
        <v>-0.1216216216216216</v>
      </c>
      <c r="U158" s="24">
        <f>Rådatakommune[[#This Row],[Y15-O]]/Rådatakommune[[#This Row],[Folk20-64-O]]</f>
        <v>0.92340425531914894</v>
      </c>
    </row>
    <row r="159" spans="1:21" x14ac:dyDescent="0.3">
      <c r="A159" s="2" t="s">
        <v>157</v>
      </c>
      <c r="B159" s="37">
        <v>874</v>
      </c>
      <c r="C159" s="37">
        <v>945</v>
      </c>
      <c r="D159" s="37">
        <v>551</v>
      </c>
      <c r="E159" s="40">
        <v>106</v>
      </c>
      <c r="F159" s="41">
        <v>126</v>
      </c>
      <c r="G159">
        <v>587</v>
      </c>
      <c r="H159" s="46">
        <v>510</v>
      </c>
      <c r="I159" s="37">
        <v>619</v>
      </c>
      <c r="J159" s="42">
        <v>1254.54</v>
      </c>
      <c r="K159" s="5">
        <v>1467.1299999999999</v>
      </c>
      <c r="L159" s="37">
        <v>432100</v>
      </c>
      <c r="M159" s="43">
        <v>215.25</v>
      </c>
      <c r="N159">
        <v>11</v>
      </c>
      <c r="O159" s="36">
        <f>Rådatakommune[[#This Row],[B16-O]]/Rådatakommune[[#This Row],[Landareal2016-O]]</f>
        <v>0.75326414462671576</v>
      </c>
      <c r="P159" s="36">
        <f>Rådatakommune[[#This Row],[B16-O]]/Rådatakommune[[#This Row],[Totalareal2016-O]]</f>
        <v>0.64411470012882299</v>
      </c>
      <c r="Q159" s="38">
        <f>Rådatakommune[[#This Row],[B16-O]]/Rådatakommune[[#This Row],[B06-O]]-1</f>
        <v>8.1235697940503337E-2</v>
      </c>
      <c r="R159" s="24">
        <f>Rådatakommune[[#This Row],[Kvinner20-39-O]]/Rådatakommune[[#This Row],[B16-O]]</f>
        <v>0.13333333333333333</v>
      </c>
      <c r="S159" s="24">
        <f>Rådatakommune[[#This Row],[Eldre67+-O]]/Rådatakommune[[#This Row],[B16-O]]</f>
        <v>0.11216931216931217</v>
      </c>
      <c r="T159" s="24">
        <f>Rådatakommune[[#This Row],[S15-O]]/Rådatakommune[[#This Row],[S05-O]]-1</f>
        <v>0.21372549019607834</v>
      </c>
      <c r="U159" s="24">
        <f>Rådatakommune[[#This Row],[Y15-O]]/Rådatakommune[[#This Row],[Folk20-64-O]]</f>
        <v>0.93867120954003402</v>
      </c>
    </row>
    <row r="160" spans="1:21" x14ac:dyDescent="0.3">
      <c r="A160" s="2" t="s">
        <v>158</v>
      </c>
      <c r="B160" s="37">
        <v>76917</v>
      </c>
      <c r="C160" s="37">
        <v>88447</v>
      </c>
      <c r="D160" s="37">
        <v>42460</v>
      </c>
      <c r="E160" s="40">
        <v>11471</v>
      </c>
      <c r="F160" s="41">
        <v>12259</v>
      </c>
      <c r="G160">
        <v>52976</v>
      </c>
      <c r="H160" s="46">
        <v>43419</v>
      </c>
      <c r="I160" s="37">
        <v>50445</v>
      </c>
      <c r="J160" s="42">
        <v>259.14</v>
      </c>
      <c r="K160" s="5">
        <v>276.52</v>
      </c>
      <c r="L160" s="37">
        <v>408300</v>
      </c>
      <c r="M160" s="43">
        <v>158.8166666667</v>
      </c>
      <c r="N160">
        <v>2</v>
      </c>
      <c r="O160" s="36">
        <f>Rådatakommune[[#This Row],[B16-O]]/Rådatakommune[[#This Row],[Landareal2016-O]]</f>
        <v>341.30971675542179</v>
      </c>
      <c r="P160" s="36">
        <f>Rådatakommune[[#This Row],[B16-O]]/Rådatakommune[[#This Row],[Totalareal2016-O]]</f>
        <v>319.85751482713732</v>
      </c>
      <c r="Q160" s="38">
        <f>Rådatakommune[[#This Row],[B16-O]]/Rådatakommune[[#This Row],[B06-O]]-1</f>
        <v>0.14990184224553738</v>
      </c>
      <c r="R160" s="24">
        <f>Rådatakommune[[#This Row],[Kvinner20-39-O]]/Rådatakommune[[#This Row],[B16-O]]</f>
        <v>0.138602779065429</v>
      </c>
      <c r="S160" s="24">
        <f>Rådatakommune[[#This Row],[Eldre67+-O]]/Rådatakommune[[#This Row],[B16-O]]</f>
        <v>0.12969348875597816</v>
      </c>
      <c r="T160" s="24">
        <f>Rådatakommune[[#This Row],[S15-O]]/Rådatakommune[[#This Row],[S05-O]]-1</f>
        <v>0.16181855869550188</v>
      </c>
      <c r="U160" s="24">
        <f>Rådatakommune[[#This Row],[Y15-O]]/Rådatakommune[[#This Row],[Folk20-64-O]]</f>
        <v>0.80149501661129563</v>
      </c>
    </row>
    <row r="161" spans="1:21" x14ac:dyDescent="0.3">
      <c r="A161" s="2" t="s">
        <v>159</v>
      </c>
      <c r="B161" s="37">
        <v>14069</v>
      </c>
      <c r="C161" s="37">
        <v>15529</v>
      </c>
      <c r="D161" s="37">
        <v>7032</v>
      </c>
      <c r="E161" s="40">
        <v>2347</v>
      </c>
      <c r="F161" s="41">
        <v>1838</v>
      </c>
      <c r="G161">
        <v>8833</v>
      </c>
      <c r="H161" s="46">
        <v>5671</v>
      </c>
      <c r="I161" s="37">
        <v>6055</v>
      </c>
      <c r="J161" s="42">
        <v>210.61</v>
      </c>
      <c r="K161" s="5">
        <v>222.56</v>
      </c>
      <c r="L161" s="37">
        <v>389500</v>
      </c>
      <c r="M161" s="43">
        <v>194.4</v>
      </c>
      <c r="N161">
        <v>5</v>
      </c>
      <c r="O161" s="36">
        <f>Rådatakommune[[#This Row],[B16-O]]/Rådatakommune[[#This Row],[Landareal2016-O]]</f>
        <v>73.7334409572195</v>
      </c>
      <c r="P161" s="36">
        <f>Rådatakommune[[#This Row],[B16-O]]/Rådatakommune[[#This Row],[Totalareal2016-O]]</f>
        <v>69.774442846872759</v>
      </c>
      <c r="Q161" s="38">
        <f>Rådatakommune[[#This Row],[B16-O]]/Rådatakommune[[#This Row],[B06-O]]-1</f>
        <v>0.10377425545525631</v>
      </c>
      <c r="R161" s="24">
        <f>Rådatakommune[[#This Row],[Kvinner20-39-O]]/Rådatakommune[[#This Row],[B16-O]]</f>
        <v>0.11835919891815314</v>
      </c>
      <c r="S161" s="24">
        <f>Rådatakommune[[#This Row],[Eldre67+-O]]/Rådatakommune[[#This Row],[B16-O]]</f>
        <v>0.15113658316697792</v>
      </c>
      <c r="T161" s="24">
        <f>Rådatakommune[[#This Row],[S15-O]]/Rådatakommune[[#This Row],[S05-O]]-1</f>
        <v>6.771292540998064E-2</v>
      </c>
      <c r="U161" s="24">
        <f>Rådatakommune[[#This Row],[Y15-O]]/Rådatakommune[[#This Row],[Folk20-64-O]]</f>
        <v>0.79610551341560054</v>
      </c>
    </row>
    <row r="162" spans="1:21" x14ac:dyDescent="0.3">
      <c r="A162" s="2" t="s">
        <v>160</v>
      </c>
      <c r="B162" s="37">
        <v>9446</v>
      </c>
      <c r="C162" s="37">
        <v>9705</v>
      </c>
      <c r="D162" s="37">
        <v>4676</v>
      </c>
      <c r="E162" s="40">
        <v>1646</v>
      </c>
      <c r="F162" s="41">
        <v>1038</v>
      </c>
      <c r="G162">
        <v>5304</v>
      </c>
      <c r="H162" s="46">
        <v>3914</v>
      </c>
      <c r="I162" s="37">
        <v>3992</v>
      </c>
      <c r="J162" s="42">
        <v>251.83</v>
      </c>
      <c r="K162" s="5">
        <v>262.55</v>
      </c>
      <c r="L162" s="37">
        <v>400200</v>
      </c>
      <c r="M162" s="43">
        <v>231.8166666667</v>
      </c>
      <c r="N162">
        <v>6</v>
      </c>
      <c r="O162" s="36">
        <f>Rådatakommune[[#This Row],[B16-O]]/Rådatakommune[[#This Row],[Landareal2016-O]]</f>
        <v>38.53790255330977</v>
      </c>
      <c r="P162" s="36">
        <f>Rådatakommune[[#This Row],[B16-O]]/Rådatakommune[[#This Row],[Totalareal2016-O]]</f>
        <v>36.964387735669398</v>
      </c>
      <c r="Q162" s="38">
        <f>Rådatakommune[[#This Row],[B16-O]]/Rådatakommune[[#This Row],[B06-O]]-1</f>
        <v>2.7419013338979559E-2</v>
      </c>
      <c r="R162" s="24">
        <f>Rådatakommune[[#This Row],[Kvinner20-39-O]]/Rådatakommune[[#This Row],[B16-O]]</f>
        <v>0.10695517774343122</v>
      </c>
      <c r="S162" s="24">
        <f>Rådatakommune[[#This Row],[Eldre67+-O]]/Rådatakommune[[#This Row],[B16-O]]</f>
        <v>0.16960329726944873</v>
      </c>
      <c r="T162" s="24">
        <f>Rådatakommune[[#This Row],[S15-O]]/Rådatakommune[[#This Row],[S05-O]]-1</f>
        <v>1.9928461931527863E-2</v>
      </c>
      <c r="U162" s="24">
        <f>Rådatakommune[[#This Row],[Y15-O]]/Rådatakommune[[#This Row],[Folk20-64-O]]</f>
        <v>0.88159879336349922</v>
      </c>
    </row>
    <row r="163" spans="1:21" x14ac:dyDescent="0.3">
      <c r="A163" s="2" t="s">
        <v>161</v>
      </c>
      <c r="B163" s="37">
        <v>8852</v>
      </c>
      <c r="C163" s="37">
        <v>9096</v>
      </c>
      <c r="D163" s="37">
        <v>4335</v>
      </c>
      <c r="E163" s="40">
        <v>1588</v>
      </c>
      <c r="F163" s="41">
        <v>962</v>
      </c>
      <c r="G163">
        <v>5053</v>
      </c>
      <c r="H163" s="46">
        <v>3947</v>
      </c>
      <c r="I163" s="37">
        <v>4109</v>
      </c>
      <c r="J163" s="42">
        <v>481.86</v>
      </c>
      <c r="K163" s="5">
        <v>543.53</v>
      </c>
      <c r="L163" s="37">
        <v>404900</v>
      </c>
      <c r="M163" s="43">
        <v>244.0833333333</v>
      </c>
      <c r="N163">
        <v>6</v>
      </c>
      <c r="O163" s="36">
        <f>Rådatakommune[[#This Row],[B16-O]]/Rådatakommune[[#This Row],[Landareal2016-O]]</f>
        <v>18.876852197733783</v>
      </c>
      <c r="P163" s="36">
        <f>Rådatakommune[[#This Row],[B16-O]]/Rådatakommune[[#This Row],[Totalareal2016-O]]</f>
        <v>16.735046823542401</v>
      </c>
      <c r="Q163" s="38">
        <f>Rådatakommune[[#This Row],[B16-O]]/Rådatakommune[[#This Row],[B06-O]]-1</f>
        <v>2.7564392227745094E-2</v>
      </c>
      <c r="R163" s="24">
        <f>Rådatakommune[[#This Row],[Kvinner20-39-O]]/Rådatakommune[[#This Row],[B16-O]]</f>
        <v>0.10576077396657872</v>
      </c>
      <c r="S163" s="24">
        <f>Rådatakommune[[#This Row],[Eldre67+-O]]/Rådatakommune[[#This Row],[B16-O]]</f>
        <v>0.17458223394898856</v>
      </c>
      <c r="T163" s="24">
        <f>Rådatakommune[[#This Row],[S15-O]]/Rådatakommune[[#This Row],[S05-O]]-1</f>
        <v>4.104383075753737E-2</v>
      </c>
      <c r="U163" s="24">
        <f>Rådatakommune[[#This Row],[Y15-O]]/Rådatakommune[[#This Row],[Folk20-64-O]]</f>
        <v>0.85790619433999604</v>
      </c>
    </row>
    <row r="164" spans="1:21" x14ac:dyDescent="0.3">
      <c r="A164" s="2" t="s">
        <v>162</v>
      </c>
      <c r="B164" s="37">
        <v>12513</v>
      </c>
      <c r="C164" s="37">
        <v>14308</v>
      </c>
      <c r="D164" s="37">
        <v>6790</v>
      </c>
      <c r="E164" s="40">
        <v>1828</v>
      </c>
      <c r="F164" s="41">
        <v>1930</v>
      </c>
      <c r="G164">
        <v>8414</v>
      </c>
      <c r="H164" s="46">
        <v>3944</v>
      </c>
      <c r="I164" s="37">
        <v>4247</v>
      </c>
      <c r="J164" s="42">
        <v>362.04</v>
      </c>
      <c r="K164" s="5">
        <v>384.47</v>
      </c>
      <c r="L164" s="37">
        <v>369800</v>
      </c>
      <c r="M164" s="43">
        <v>158.61666666669998</v>
      </c>
      <c r="N164">
        <v>2</v>
      </c>
      <c r="O164" s="36">
        <f>Rådatakommune[[#This Row],[B16-O]]/Rådatakommune[[#This Row],[Landareal2016-O]]</f>
        <v>39.520494972931168</v>
      </c>
      <c r="P164" s="36">
        <f>Rådatakommune[[#This Row],[B16-O]]/Rådatakommune[[#This Row],[Totalareal2016-O]]</f>
        <v>37.214867219809086</v>
      </c>
      <c r="Q164" s="38">
        <f>Rådatakommune[[#This Row],[B16-O]]/Rådatakommune[[#This Row],[B06-O]]-1</f>
        <v>0.14345081115639724</v>
      </c>
      <c r="R164" s="24">
        <f>Rådatakommune[[#This Row],[Kvinner20-39-O]]/Rådatakommune[[#This Row],[B16-O]]</f>
        <v>0.13488957226726306</v>
      </c>
      <c r="S164" s="24">
        <f>Rådatakommune[[#This Row],[Eldre67+-O]]/Rådatakommune[[#This Row],[B16-O]]</f>
        <v>0.12776069331842327</v>
      </c>
      <c r="T164" s="24">
        <f>Rådatakommune[[#This Row],[S15-O]]/Rådatakommune[[#This Row],[S05-O]]-1</f>
        <v>7.6825557809330647E-2</v>
      </c>
      <c r="U164" s="24">
        <f>Rådatakommune[[#This Row],[Y15-O]]/Rådatakommune[[#This Row],[Folk20-64-O]]</f>
        <v>0.80698835274542424</v>
      </c>
    </row>
    <row r="165" spans="1:21" x14ac:dyDescent="0.3">
      <c r="A165" s="2" t="s">
        <v>163</v>
      </c>
      <c r="B165" s="37">
        <v>5621</v>
      </c>
      <c r="C165" s="37">
        <v>6419</v>
      </c>
      <c r="D165" s="37">
        <v>3055</v>
      </c>
      <c r="E165" s="40">
        <v>800</v>
      </c>
      <c r="F165" s="41">
        <v>837</v>
      </c>
      <c r="G165">
        <v>3745</v>
      </c>
      <c r="H165" s="46">
        <v>1798</v>
      </c>
      <c r="I165" s="37">
        <v>2755</v>
      </c>
      <c r="J165" s="42">
        <v>206.3</v>
      </c>
      <c r="K165" s="5">
        <v>215.94</v>
      </c>
      <c r="L165" s="37">
        <v>365800</v>
      </c>
      <c r="M165" s="43">
        <v>169.05</v>
      </c>
      <c r="N165">
        <v>2</v>
      </c>
      <c r="O165" s="36">
        <f>Rådatakommune[[#This Row],[B16-O]]/Rådatakommune[[#This Row],[Landareal2016-O]]</f>
        <v>31.114881240911291</v>
      </c>
      <c r="P165" s="36">
        <f>Rådatakommune[[#This Row],[B16-O]]/Rådatakommune[[#This Row],[Totalareal2016-O]]</f>
        <v>29.725849773085116</v>
      </c>
      <c r="Q165" s="38">
        <f>Rådatakommune[[#This Row],[B16-O]]/Rådatakommune[[#This Row],[B06-O]]-1</f>
        <v>0.14196762141967612</v>
      </c>
      <c r="R165" s="24">
        <f>Rådatakommune[[#This Row],[Kvinner20-39-O]]/Rådatakommune[[#This Row],[B16-O]]</f>
        <v>0.13039414238978034</v>
      </c>
      <c r="S165" s="24">
        <f>Rådatakommune[[#This Row],[Eldre67+-O]]/Rådatakommune[[#This Row],[B16-O]]</f>
        <v>0.12463000467362517</v>
      </c>
      <c r="T165" s="24">
        <f>Rådatakommune[[#This Row],[S15-O]]/Rådatakommune[[#This Row],[S05-O]]-1</f>
        <v>0.532258064516129</v>
      </c>
      <c r="U165" s="24">
        <f>Rådatakommune[[#This Row],[Y15-O]]/Rådatakommune[[#This Row],[Folk20-64-O]]</f>
        <v>0.81575433911882511</v>
      </c>
    </row>
    <row r="166" spans="1:21" x14ac:dyDescent="0.3">
      <c r="A166" s="2" t="s">
        <v>164</v>
      </c>
      <c r="B166" s="37">
        <v>9609</v>
      </c>
      <c r="C166" s="37">
        <v>11260</v>
      </c>
      <c r="D166" s="37">
        <v>5458</v>
      </c>
      <c r="E166" s="40">
        <v>1448</v>
      </c>
      <c r="F166" s="41">
        <v>1372</v>
      </c>
      <c r="G166">
        <v>6475</v>
      </c>
      <c r="H166" s="46">
        <v>3106</v>
      </c>
      <c r="I166" s="37">
        <v>3456</v>
      </c>
      <c r="J166" s="42">
        <v>144.09</v>
      </c>
      <c r="K166" s="5">
        <v>151.26</v>
      </c>
      <c r="L166" s="37">
        <v>409800</v>
      </c>
      <c r="M166" s="43">
        <v>171.1</v>
      </c>
      <c r="N166">
        <v>2</v>
      </c>
      <c r="O166" s="36">
        <f>Rådatakommune[[#This Row],[B16-O]]/Rådatakommune[[#This Row],[Landareal2016-O]]</f>
        <v>78.145603442293009</v>
      </c>
      <c r="P166" s="36">
        <f>Rådatakommune[[#This Row],[B16-O]]/Rådatakommune[[#This Row],[Totalareal2016-O]]</f>
        <v>74.441359248975274</v>
      </c>
      <c r="Q166" s="38">
        <f>Rådatakommune[[#This Row],[B16-O]]/Rådatakommune[[#This Row],[B06-O]]-1</f>
        <v>0.17181808720990732</v>
      </c>
      <c r="R166" s="24">
        <f>Rådatakommune[[#This Row],[Kvinner20-39-O]]/Rådatakommune[[#This Row],[B16-O]]</f>
        <v>0.12184724689165187</v>
      </c>
      <c r="S166" s="24">
        <f>Rådatakommune[[#This Row],[Eldre67+-O]]/Rådatakommune[[#This Row],[B16-O]]</f>
        <v>0.1285968028419183</v>
      </c>
      <c r="T166" s="24">
        <f>Rådatakommune[[#This Row],[S15-O]]/Rådatakommune[[#This Row],[S05-O]]-1</f>
        <v>0.11268512556342558</v>
      </c>
      <c r="U166" s="24">
        <f>Rådatakommune[[#This Row],[Y15-O]]/Rådatakommune[[#This Row],[Folk20-64-O]]</f>
        <v>0.84293436293436297</v>
      </c>
    </row>
    <row r="167" spans="1:21" x14ac:dyDescent="0.3">
      <c r="A167" s="2" t="s">
        <v>165</v>
      </c>
      <c r="B167" s="37">
        <v>2171</v>
      </c>
      <c r="C167" s="37">
        <v>2290</v>
      </c>
      <c r="D167" s="37">
        <v>1081</v>
      </c>
      <c r="E167" s="40">
        <v>307</v>
      </c>
      <c r="F167" s="41">
        <v>259</v>
      </c>
      <c r="G167">
        <v>1310</v>
      </c>
      <c r="H167" s="46">
        <v>757</v>
      </c>
      <c r="I167" s="37">
        <v>713</v>
      </c>
      <c r="J167" s="42">
        <v>375.89</v>
      </c>
      <c r="K167" s="5">
        <v>395.01</v>
      </c>
      <c r="L167" s="37">
        <v>365400</v>
      </c>
      <c r="M167" s="43">
        <v>191.9333333333</v>
      </c>
      <c r="N167">
        <v>5</v>
      </c>
      <c r="O167" s="36">
        <f>Rådatakommune[[#This Row],[B16-O]]/Rådatakommune[[#This Row],[Landareal2016-O]]</f>
        <v>6.0922078267578286</v>
      </c>
      <c r="P167" s="36">
        <f>Rådatakommune[[#This Row],[B16-O]]/Rådatakommune[[#This Row],[Totalareal2016-O]]</f>
        <v>5.7973215867952712</v>
      </c>
      <c r="Q167" s="38">
        <f>Rådatakommune[[#This Row],[B16-O]]/Rådatakommune[[#This Row],[B06-O]]-1</f>
        <v>5.4813450023030841E-2</v>
      </c>
      <c r="R167" s="24">
        <f>Rådatakommune[[#This Row],[Kvinner20-39-O]]/Rådatakommune[[#This Row],[B16-O]]</f>
        <v>0.1131004366812227</v>
      </c>
      <c r="S167" s="24">
        <f>Rådatakommune[[#This Row],[Eldre67+-O]]/Rådatakommune[[#This Row],[B16-O]]</f>
        <v>0.13406113537117903</v>
      </c>
      <c r="T167" s="24">
        <f>Rådatakommune[[#This Row],[S15-O]]/Rådatakommune[[#This Row],[S05-O]]-1</f>
        <v>-5.8124174372523152E-2</v>
      </c>
      <c r="U167" s="24">
        <f>Rådatakommune[[#This Row],[Y15-O]]/Rådatakommune[[#This Row],[Folk20-64-O]]</f>
        <v>0.82519083969465645</v>
      </c>
    </row>
    <row r="168" spans="1:21" x14ac:dyDescent="0.3">
      <c r="A168" s="2" t="s">
        <v>166</v>
      </c>
      <c r="B168" s="37">
        <v>894</v>
      </c>
      <c r="C168" s="37">
        <v>942</v>
      </c>
      <c r="D168" s="37">
        <v>473</v>
      </c>
      <c r="E168" s="40">
        <v>134</v>
      </c>
      <c r="F168" s="41">
        <v>98</v>
      </c>
      <c r="G168">
        <v>528</v>
      </c>
      <c r="H168" s="46">
        <v>453</v>
      </c>
      <c r="I168" s="37">
        <v>635</v>
      </c>
      <c r="J168" s="42">
        <v>797.72</v>
      </c>
      <c r="K168" s="5">
        <v>887.52</v>
      </c>
      <c r="L168" s="37">
        <v>374100</v>
      </c>
      <c r="M168" s="43">
        <v>217.26666666670002</v>
      </c>
      <c r="N168">
        <v>5</v>
      </c>
      <c r="O168" s="36">
        <f>Rådatakommune[[#This Row],[B16-O]]/Rådatakommune[[#This Row],[Landareal2016-O]]</f>
        <v>1.1808654665797522</v>
      </c>
      <c r="P168" s="36">
        <f>Rådatakommune[[#This Row],[B16-O]]/Rådatakommune[[#This Row],[Totalareal2016-O]]</f>
        <v>1.0613845321795565</v>
      </c>
      <c r="Q168" s="38">
        <f>Rådatakommune[[#This Row],[B16-O]]/Rådatakommune[[#This Row],[B06-O]]-1</f>
        <v>5.3691275167785157E-2</v>
      </c>
      <c r="R168" s="24">
        <f>Rådatakommune[[#This Row],[Kvinner20-39-O]]/Rådatakommune[[#This Row],[B16-O]]</f>
        <v>0.1040339702760085</v>
      </c>
      <c r="S168" s="24">
        <f>Rådatakommune[[#This Row],[Eldre67+-O]]/Rådatakommune[[#This Row],[B16-O]]</f>
        <v>0.14225053078556263</v>
      </c>
      <c r="T168" s="24">
        <f>Rådatakommune[[#This Row],[S15-O]]/Rådatakommune[[#This Row],[S05-O]]-1</f>
        <v>0.40176600441501109</v>
      </c>
      <c r="U168" s="24">
        <f>Rådatakommune[[#This Row],[Y15-O]]/Rådatakommune[[#This Row],[Folk20-64-O]]</f>
        <v>0.89583333333333337</v>
      </c>
    </row>
    <row r="169" spans="1:21" x14ac:dyDescent="0.3">
      <c r="A169" s="2" t="s">
        <v>167</v>
      </c>
      <c r="B169" s="37">
        <v>1556</v>
      </c>
      <c r="C169" s="37">
        <v>1750</v>
      </c>
      <c r="D169" s="37">
        <v>878</v>
      </c>
      <c r="E169" s="40">
        <v>256</v>
      </c>
      <c r="F169" s="41">
        <v>201</v>
      </c>
      <c r="G169">
        <v>950</v>
      </c>
      <c r="H169" s="46">
        <v>665</v>
      </c>
      <c r="I169" s="37">
        <v>683</v>
      </c>
      <c r="J169" s="42">
        <v>236.04</v>
      </c>
      <c r="K169" s="5">
        <v>251.45</v>
      </c>
      <c r="L169" s="37">
        <v>376300</v>
      </c>
      <c r="M169" s="43">
        <v>200.55</v>
      </c>
      <c r="N169">
        <v>5</v>
      </c>
      <c r="O169" s="36">
        <f>Rådatakommune[[#This Row],[B16-O]]/Rådatakommune[[#This Row],[Landareal2016-O]]</f>
        <v>7.4139976275207591</v>
      </c>
      <c r="P169" s="36">
        <f>Rådatakommune[[#This Row],[B16-O]]/Rådatakommune[[#This Row],[Totalareal2016-O]]</f>
        <v>6.9596341220918676</v>
      </c>
      <c r="Q169" s="38">
        <f>Rådatakommune[[#This Row],[B16-O]]/Rådatakommune[[#This Row],[B06-O]]-1</f>
        <v>0.12467866323907462</v>
      </c>
      <c r="R169" s="24">
        <f>Rådatakommune[[#This Row],[Kvinner20-39-O]]/Rådatakommune[[#This Row],[B16-O]]</f>
        <v>0.11485714285714285</v>
      </c>
      <c r="S169" s="24">
        <f>Rådatakommune[[#This Row],[Eldre67+-O]]/Rådatakommune[[#This Row],[B16-O]]</f>
        <v>0.1462857142857143</v>
      </c>
      <c r="T169" s="24">
        <f>Rådatakommune[[#This Row],[S15-O]]/Rådatakommune[[#This Row],[S05-O]]-1</f>
        <v>2.7067669172932352E-2</v>
      </c>
      <c r="U169" s="24">
        <f>Rådatakommune[[#This Row],[Y15-O]]/Rådatakommune[[#This Row],[Folk20-64-O]]</f>
        <v>0.92421052631578948</v>
      </c>
    </row>
    <row r="170" spans="1:21" x14ac:dyDescent="0.3">
      <c r="A170" s="2" t="s">
        <v>168</v>
      </c>
      <c r="B170" s="37">
        <v>4486</v>
      </c>
      <c r="C170" s="37">
        <v>4943</v>
      </c>
      <c r="D170" s="37">
        <v>2290</v>
      </c>
      <c r="E170" s="40">
        <v>788</v>
      </c>
      <c r="F170" s="41">
        <v>579</v>
      </c>
      <c r="G170">
        <v>2722</v>
      </c>
      <c r="H170" s="46">
        <v>1809</v>
      </c>
      <c r="I170" s="37">
        <v>1882</v>
      </c>
      <c r="J170" s="42">
        <v>297.36</v>
      </c>
      <c r="K170" s="5">
        <v>316.01</v>
      </c>
      <c r="L170" s="37">
        <v>374400</v>
      </c>
      <c r="M170" s="43">
        <v>200.8166666667</v>
      </c>
      <c r="N170">
        <v>5</v>
      </c>
      <c r="O170" s="36">
        <f>Rådatakommune[[#This Row],[B16-O]]/Rådatakommune[[#This Row],[Landareal2016-O]]</f>
        <v>16.622948614474037</v>
      </c>
      <c r="P170" s="36">
        <f>Rådatakommune[[#This Row],[B16-O]]/Rådatakommune[[#This Row],[Totalareal2016-O]]</f>
        <v>15.641910066137148</v>
      </c>
      <c r="Q170" s="38">
        <f>Rådatakommune[[#This Row],[B16-O]]/Rådatakommune[[#This Row],[B06-O]]-1</f>
        <v>0.10187249219794925</v>
      </c>
      <c r="R170" s="24">
        <f>Rådatakommune[[#This Row],[Kvinner20-39-O]]/Rådatakommune[[#This Row],[B16-O]]</f>
        <v>0.11713534290916447</v>
      </c>
      <c r="S170" s="24">
        <f>Rådatakommune[[#This Row],[Eldre67+-O]]/Rådatakommune[[#This Row],[B16-O]]</f>
        <v>0.15941735787983005</v>
      </c>
      <c r="T170" s="24">
        <f>Rådatakommune[[#This Row],[S15-O]]/Rådatakommune[[#This Row],[S05-O]]-1</f>
        <v>4.0353786622443266E-2</v>
      </c>
      <c r="U170" s="24">
        <f>Rådatakommune[[#This Row],[Y15-O]]/Rådatakommune[[#This Row],[Folk20-64-O]]</f>
        <v>0.84129316678912569</v>
      </c>
    </row>
    <row r="171" spans="1:21" x14ac:dyDescent="0.3">
      <c r="A171" s="2" t="s">
        <v>169</v>
      </c>
      <c r="B171" s="37">
        <v>7296</v>
      </c>
      <c r="C171" s="37">
        <v>8497</v>
      </c>
      <c r="D171" s="37">
        <v>3995</v>
      </c>
      <c r="E171" s="40">
        <v>1120</v>
      </c>
      <c r="F171" s="41">
        <v>1016</v>
      </c>
      <c r="G171">
        <v>4691</v>
      </c>
      <c r="H171" s="46">
        <v>3514</v>
      </c>
      <c r="I171" s="37">
        <v>3849</v>
      </c>
      <c r="J171" s="42">
        <v>370.1</v>
      </c>
      <c r="K171" s="5">
        <v>391.13</v>
      </c>
      <c r="L171" s="37">
        <v>378000</v>
      </c>
      <c r="M171" s="43">
        <v>217.61666666669998</v>
      </c>
      <c r="N171">
        <v>5</v>
      </c>
      <c r="O171" s="36">
        <f>Rådatakommune[[#This Row],[B16-O]]/Rådatakommune[[#This Row],[Landareal2016-O]]</f>
        <v>22.958659821669819</v>
      </c>
      <c r="P171" s="36">
        <f>Rådatakommune[[#This Row],[B16-O]]/Rådatakommune[[#This Row],[Totalareal2016-O]]</f>
        <v>21.724234909109505</v>
      </c>
      <c r="Q171" s="38">
        <f>Rådatakommune[[#This Row],[B16-O]]/Rådatakommune[[#This Row],[B06-O]]-1</f>
        <v>0.1646107456140351</v>
      </c>
      <c r="R171" s="24">
        <f>Rådatakommune[[#This Row],[Kvinner20-39-O]]/Rådatakommune[[#This Row],[B16-O]]</f>
        <v>0.11957161351065082</v>
      </c>
      <c r="S171" s="24">
        <f>Rådatakommune[[#This Row],[Eldre67+-O]]/Rådatakommune[[#This Row],[B16-O]]</f>
        <v>0.13181122749205601</v>
      </c>
      <c r="T171" s="24">
        <f>Rådatakommune[[#This Row],[S15-O]]/Rådatakommune[[#This Row],[S05-O]]-1</f>
        <v>9.5332953898690898E-2</v>
      </c>
      <c r="U171" s="24">
        <f>Rådatakommune[[#This Row],[Y15-O]]/Rådatakommune[[#This Row],[Folk20-64-O]]</f>
        <v>0.85163078234917933</v>
      </c>
    </row>
    <row r="172" spans="1:21" x14ac:dyDescent="0.3">
      <c r="A172" s="2" t="s">
        <v>170</v>
      </c>
      <c r="B172" s="37">
        <v>1583</v>
      </c>
      <c r="C172" s="37">
        <v>1702</v>
      </c>
      <c r="D172" s="37">
        <v>902</v>
      </c>
      <c r="E172" s="40">
        <v>259</v>
      </c>
      <c r="F172" s="41">
        <v>193</v>
      </c>
      <c r="G172">
        <v>950</v>
      </c>
      <c r="H172" s="46">
        <v>626</v>
      </c>
      <c r="I172" s="37">
        <v>698</v>
      </c>
      <c r="J172" s="42">
        <v>424.26</v>
      </c>
      <c r="K172" s="5">
        <v>461.33</v>
      </c>
      <c r="L172" s="37">
        <v>395100</v>
      </c>
      <c r="M172" s="43">
        <v>212.61666666669998</v>
      </c>
      <c r="N172">
        <v>5</v>
      </c>
      <c r="O172" s="36">
        <f>Rådatakommune[[#This Row],[B16-O]]/Rådatakommune[[#This Row],[Landareal2016-O]]</f>
        <v>4.0116909442323108</v>
      </c>
      <c r="P172" s="36">
        <f>Rådatakommune[[#This Row],[B16-O]]/Rådatakommune[[#This Row],[Totalareal2016-O]]</f>
        <v>3.689333015411961</v>
      </c>
      <c r="Q172" s="38">
        <f>Rådatakommune[[#This Row],[B16-O]]/Rådatakommune[[#This Row],[B06-O]]-1</f>
        <v>7.5173720783322739E-2</v>
      </c>
      <c r="R172" s="24">
        <f>Rådatakommune[[#This Row],[Kvinner20-39-O]]/Rådatakommune[[#This Row],[B16-O]]</f>
        <v>0.11339600470035252</v>
      </c>
      <c r="S172" s="24">
        <f>Rådatakommune[[#This Row],[Eldre67+-O]]/Rådatakommune[[#This Row],[B16-O]]</f>
        <v>0.15217391304347827</v>
      </c>
      <c r="T172" s="24">
        <f>Rådatakommune[[#This Row],[S15-O]]/Rådatakommune[[#This Row],[S05-O]]-1</f>
        <v>0.11501597444089451</v>
      </c>
      <c r="U172" s="24">
        <f>Rådatakommune[[#This Row],[Y15-O]]/Rådatakommune[[#This Row],[Folk20-64-O]]</f>
        <v>0.94947368421052636</v>
      </c>
    </row>
    <row r="173" spans="1:21" x14ac:dyDescent="0.3">
      <c r="A173" s="2" t="s">
        <v>171</v>
      </c>
      <c r="B173" s="37">
        <v>5564</v>
      </c>
      <c r="C173" s="37">
        <v>5981</v>
      </c>
      <c r="D173" s="37">
        <v>2832</v>
      </c>
      <c r="E173" s="40">
        <v>931</v>
      </c>
      <c r="F173" s="41">
        <v>662</v>
      </c>
      <c r="G173">
        <v>3424</v>
      </c>
      <c r="H173" s="46">
        <v>2252</v>
      </c>
      <c r="I173" s="37">
        <v>2283</v>
      </c>
      <c r="J173" s="42">
        <v>886.47</v>
      </c>
      <c r="K173" s="5">
        <v>962.42000000000007</v>
      </c>
      <c r="L173" s="37">
        <v>378300</v>
      </c>
      <c r="M173" s="43">
        <v>229.5833333333</v>
      </c>
      <c r="N173">
        <v>6</v>
      </c>
      <c r="O173" s="36">
        <f>Rådatakommune[[#This Row],[B16-O]]/Rådatakommune[[#This Row],[Landareal2016-O]]</f>
        <v>6.7469852335668437</v>
      </c>
      <c r="P173" s="36">
        <f>Rådatakommune[[#This Row],[B16-O]]/Rådatakommune[[#This Row],[Totalareal2016-O]]</f>
        <v>6.2145425074291882</v>
      </c>
      <c r="Q173" s="38">
        <f>Rådatakommune[[#This Row],[B16-O]]/Rådatakommune[[#This Row],[B06-O]]-1</f>
        <v>7.4946081955427735E-2</v>
      </c>
      <c r="R173" s="24">
        <f>Rådatakommune[[#This Row],[Kvinner20-39-O]]/Rådatakommune[[#This Row],[B16-O]]</f>
        <v>0.11068383213509446</v>
      </c>
      <c r="S173" s="24">
        <f>Rådatakommune[[#This Row],[Eldre67+-O]]/Rådatakommune[[#This Row],[B16-O]]</f>
        <v>0.15565958869754221</v>
      </c>
      <c r="T173" s="24">
        <f>Rådatakommune[[#This Row],[S15-O]]/Rådatakommune[[#This Row],[S05-O]]-1</f>
        <v>1.3765541740675014E-2</v>
      </c>
      <c r="U173" s="24">
        <f>Rådatakommune[[#This Row],[Y15-O]]/Rådatakommune[[#This Row],[Folk20-64-O]]</f>
        <v>0.82710280373831779</v>
      </c>
    </row>
    <row r="174" spans="1:21" x14ac:dyDescent="0.3">
      <c r="A174" s="2" t="s">
        <v>172</v>
      </c>
      <c r="B174" s="37">
        <v>1740</v>
      </c>
      <c r="C174" s="37">
        <v>1832</v>
      </c>
      <c r="D174" s="37">
        <v>963</v>
      </c>
      <c r="E174" s="40">
        <v>308</v>
      </c>
      <c r="F174" s="41">
        <v>210</v>
      </c>
      <c r="G174">
        <v>1017</v>
      </c>
      <c r="H174" s="46">
        <v>976</v>
      </c>
      <c r="I174" s="37">
        <v>1062</v>
      </c>
      <c r="J174" s="42">
        <v>1375.18</v>
      </c>
      <c r="K174" s="5">
        <v>1554.8300000000002</v>
      </c>
      <c r="L174" s="37">
        <v>453800</v>
      </c>
      <c r="M174" s="43">
        <v>235.4</v>
      </c>
      <c r="N174">
        <v>7</v>
      </c>
      <c r="O174" s="36">
        <f>Rådatakommune[[#This Row],[B16-O]]/Rådatakommune[[#This Row],[Landareal2016-O]]</f>
        <v>1.3321892406812199</v>
      </c>
      <c r="P174" s="36">
        <f>Rådatakommune[[#This Row],[B16-O]]/Rådatakommune[[#This Row],[Totalareal2016-O]]</f>
        <v>1.1782638616440382</v>
      </c>
      <c r="Q174" s="38">
        <f>Rådatakommune[[#This Row],[B16-O]]/Rådatakommune[[#This Row],[B06-O]]-1</f>
        <v>5.2873563218390762E-2</v>
      </c>
      <c r="R174" s="24">
        <f>Rådatakommune[[#This Row],[Kvinner20-39-O]]/Rådatakommune[[#This Row],[B16-O]]</f>
        <v>0.11462882096069869</v>
      </c>
      <c r="S174" s="24">
        <f>Rådatakommune[[#This Row],[Eldre67+-O]]/Rådatakommune[[#This Row],[B16-O]]</f>
        <v>0.16812227074235808</v>
      </c>
      <c r="T174" s="24">
        <f>Rådatakommune[[#This Row],[S15-O]]/Rådatakommune[[#This Row],[S05-O]]-1</f>
        <v>8.811475409836067E-2</v>
      </c>
      <c r="U174" s="24">
        <f>Rådatakommune[[#This Row],[Y15-O]]/Rådatakommune[[#This Row],[Folk20-64-O]]</f>
        <v>0.94690265486725667</v>
      </c>
    </row>
    <row r="175" spans="1:21" x14ac:dyDescent="0.3">
      <c r="A175" s="2" t="s">
        <v>173</v>
      </c>
      <c r="B175" s="37">
        <v>13418</v>
      </c>
      <c r="C175" s="37">
        <v>14942</v>
      </c>
      <c r="D175" s="37">
        <v>7475</v>
      </c>
      <c r="E175" s="40">
        <v>2057</v>
      </c>
      <c r="F175" s="41">
        <v>1757</v>
      </c>
      <c r="G175">
        <v>8617</v>
      </c>
      <c r="H175" s="46">
        <v>6062</v>
      </c>
      <c r="I175" s="37">
        <v>6579</v>
      </c>
      <c r="J175" s="42">
        <v>387.43</v>
      </c>
      <c r="K175" s="5">
        <v>432.48</v>
      </c>
      <c r="L175" s="37">
        <v>432800</v>
      </c>
      <c r="M175" s="43">
        <v>208.78333333329999</v>
      </c>
      <c r="N175">
        <v>5</v>
      </c>
      <c r="O175" s="36">
        <f>Rådatakommune[[#This Row],[B16-O]]/Rådatakommune[[#This Row],[Landareal2016-O]]</f>
        <v>38.566966935962625</v>
      </c>
      <c r="P175" s="36">
        <f>Rådatakommune[[#This Row],[B16-O]]/Rådatakommune[[#This Row],[Totalareal2016-O]]</f>
        <v>34.549574546799853</v>
      </c>
      <c r="Q175" s="38">
        <f>Rådatakommune[[#This Row],[B16-O]]/Rådatakommune[[#This Row],[B06-O]]-1</f>
        <v>0.113578774780146</v>
      </c>
      <c r="R175" s="24">
        <f>Rådatakommune[[#This Row],[Kvinner20-39-O]]/Rådatakommune[[#This Row],[B16-O]]</f>
        <v>0.11758800696024628</v>
      </c>
      <c r="S175" s="24">
        <f>Rådatakommune[[#This Row],[Eldre67+-O]]/Rådatakommune[[#This Row],[B16-O]]</f>
        <v>0.13766564047650917</v>
      </c>
      <c r="T175" s="24">
        <f>Rådatakommune[[#This Row],[S15-O]]/Rådatakommune[[#This Row],[S05-O]]-1</f>
        <v>8.5285384361596828E-2</v>
      </c>
      <c r="U175" s="24">
        <f>Rådatakommune[[#This Row],[Y15-O]]/Rådatakommune[[#This Row],[Folk20-64-O]]</f>
        <v>0.8674712777068585</v>
      </c>
    </row>
    <row r="176" spans="1:21" x14ac:dyDescent="0.3">
      <c r="A176" s="2" t="s">
        <v>174</v>
      </c>
      <c r="B176" s="37">
        <v>58947</v>
      </c>
      <c r="C176" s="37">
        <v>74820</v>
      </c>
      <c r="D176" s="37">
        <v>38519</v>
      </c>
      <c r="E176" s="40">
        <v>7528</v>
      </c>
      <c r="F176" s="41">
        <v>10786</v>
      </c>
      <c r="G176">
        <v>45427</v>
      </c>
      <c r="H176" s="46">
        <v>28282</v>
      </c>
      <c r="I176" s="37">
        <v>35723</v>
      </c>
      <c r="J176" s="42">
        <v>285.42</v>
      </c>
      <c r="K176" s="5">
        <v>304.40000000000003</v>
      </c>
      <c r="L176" s="37">
        <v>485700</v>
      </c>
      <c r="M176" s="43">
        <v>161.98333333329998</v>
      </c>
      <c r="N176">
        <v>2</v>
      </c>
      <c r="O176" s="36">
        <f>Rådatakommune[[#This Row],[B16-O]]/Rådatakommune[[#This Row],[Landareal2016-O]]</f>
        <v>262.14000420433047</v>
      </c>
      <c r="P176" s="36">
        <f>Rådatakommune[[#This Row],[B16-O]]/Rådatakommune[[#This Row],[Totalareal2016-O]]</f>
        <v>245.79500657030221</v>
      </c>
      <c r="Q176" s="38">
        <f>Rådatakommune[[#This Row],[B16-O]]/Rådatakommune[[#This Row],[B06-O]]-1</f>
        <v>0.26927579011654545</v>
      </c>
      <c r="R176" s="24">
        <f>Rådatakommune[[#This Row],[Kvinner20-39-O]]/Rådatakommune[[#This Row],[B16-O]]</f>
        <v>0.14415931569099172</v>
      </c>
      <c r="S176" s="24">
        <f>Rådatakommune[[#This Row],[Eldre67+-O]]/Rådatakommune[[#This Row],[B16-O]]</f>
        <v>0.10061480887463245</v>
      </c>
      <c r="T176" s="24">
        <f>Rådatakommune[[#This Row],[S15-O]]/Rådatakommune[[#This Row],[S05-O]]-1</f>
        <v>0.26310020507743448</v>
      </c>
      <c r="U176" s="24">
        <f>Rådatakommune[[#This Row],[Y15-O]]/Rådatakommune[[#This Row],[Folk20-64-O]]</f>
        <v>0.8479318466990996</v>
      </c>
    </row>
    <row r="177" spans="1:21" x14ac:dyDescent="0.3">
      <c r="A177" s="2" t="s">
        <v>175</v>
      </c>
      <c r="B177" s="37">
        <v>115157</v>
      </c>
      <c r="C177" s="37">
        <v>132644</v>
      </c>
      <c r="D177" s="37">
        <v>67789</v>
      </c>
      <c r="E177" s="40">
        <v>14881</v>
      </c>
      <c r="F177" s="41">
        <v>19666</v>
      </c>
      <c r="G177">
        <v>82538</v>
      </c>
      <c r="H177" s="46">
        <v>67088</v>
      </c>
      <c r="I177" s="37">
        <v>78391</v>
      </c>
      <c r="J177" s="42">
        <v>68</v>
      </c>
      <c r="K177" s="5">
        <v>71.349999999999994</v>
      </c>
      <c r="L177" s="37">
        <v>538100</v>
      </c>
      <c r="M177" s="43">
        <v>161.9</v>
      </c>
      <c r="N177">
        <v>2</v>
      </c>
      <c r="O177" s="36">
        <f>Rådatakommune[[#This Row],[B16-O]]/Rådatakommune[[#This Row],[Landareal2016-O]]</f>
        <v>1950.6470588235295</v>
      </c>
      <c r="P177" s="36">
        <f>Rådatakommune[[#This Row],[B16-O]]/Rådatakommune[[#This Row],[Totalareal2016-O]]</f>
        <v>1859.0609670637702</v>
      </c>
      <c r="Q177" s="38">
        <f>Rådatakommune[[#This Row],[B16-O]]/Rådatakommune[[#This Row],[B06-O]]-1</f>
        <v>0.15185355644902176</v>
      </c>
      <c r="R177" s="24">
        <f>Rådatakommune[[#This Row],[Kvinner20-39-O]]/Rådatakommune[[#This Row],[B16-O]]</f>
        <v>0.14826151201712856</v>
      </c>
      <c r="S177" s="24">
        <f>Rådatakommune[[#This Row],[Eldre67+-O]]/Rådatakommune[[#This Row],[B16-O]]</f>
        <v>0.11218750942372063</v>
      </c>
      <c r="T177" s="24">
        <f>Rådatakommune[[#This Row],[S15-O]]/Rådatakommune[[#This Row],[S05-O]]-1</f>
        <v>0.1684802051037444</v>
      </c>
      <c r="U177" s="24">
        <f>Rådatakommune[[#This Row],[Y15-O]]/Rådatakommune[[#This Row],[Folk20-64-O]]</f>
        <v>0.82130654971043637</v>
      </c>
    </row>
    <row r="178" spans="1:21" x14ac:dyDescent="0.3">
      <c r="A178" s="2" t="s">
        <v>176</v>
      </c>
      <c r="B178" s="37">
        <v>31738</v>
      </c>
      <c r="C178" s="37">
        <v>36951</v>
      </c>
      <c r="D178" s="37">
        <v>17817</v>
      </c>
      <c r="E178" s="40">
        <v>4914</v>
      </c>
      <c r="F178" s="41">
        <v>4889</v>
      </c>
      <c r="G178">
        <v>22338</v>
      </c>
      <c r="H178" s="46">
        <v>18725</v>
      </c>
      <c r="I178" s="37">
        <v>21303</v>
      </c>
      <c r="J178" s="42">
        <v>68.36</v>
      </c>
      <c r="K178" s="5">
        <v>72.67</v>
      </c>
      <c r="L178" s="37">
        <v>420000</v>
      </c>
      <c r="M178" s="43">
        <v>163.6666666667</v>
      </c>
      <c r="N178">
        <v>4</v>
      </c>
      <c r="O178" s="36">
        <f>Rådatakommune[[#This Row],[B16-O]]/Rådatakommune[[#This Row],[Landareal2016-O]]</f>
        <v>540.53540081919255</v>
      </c>
      <c r="P178" s="36">
        <f>Rådatakommune[[#This Row],[B16-O]]/Rådatakommune[[#This Row],[Totalareal2016-O]]</f>
        <v>508.47667538186323</v>
      </c>
      <c r="Q178" s="38">
        <f>Rådatakommune[[#This Row],[B16-O]]/Rådatakommune[[#This Row],[B06-O]]-1</f>
        <v>0.16425105551704577</v>
      </c>
      <c r="R178" s="24">
        <f>Rådatakommune[[#This Row],[Kvinner20-39-O]]/Rådatakommune[[#This Row],[B16-O]]</f>
        <v>0.13231035695921625</v>
      </c>
      <c r="S178" s="24">
        <f>Rådatakommune[[#This Row],[Eldre67+-O]]/Rådatakommune[[#This Row],[B16-O]]</f>
        <v>0.1329869286352196</v>
      </c>
      <c r="T178" s="24">
        <f>Rådatakommune[[#This Row],[S15-O]]/Rådatakommune[[#This Row],[S05-O]]-1</f>
        <v>0.13767690253671572</v>
      </c>
      <c r="U178" s="24">
        <f>Rådatakommune[[#This Row],[Y15-O]]/Rådatakommune[[#This Row],[Folk20-64-O]]</f>
        <v>0.79760945474080047</v>
      </c>
    </row>
    <row r="179" spans="1:21" x14ac:dyDescent="0.3">
      <c r="A179" s="2" t="s">
        <v>177</v>
      </c>
      <c r="B179" s="37">
        <v>3301</v>
      </c>
      <c r="C179" s="37">
        <v>3313</v>
      </c>
      <c r="D179" s="37">
        <v>1619</v>
      </c>
      <c r="E179" s="40">
        <v>533</v>
      </c>
      <c r="F179" s="41">
        <v>380</v>
      </c>
      <c r="G179">
        <v>1834</v>
      </c>
      <c r="H179" s="46">
        <v>1100</v>
      </c>
      <c r="I179" s="37">
        <v>1250</v>
      </c>
      <c r="J179" s="42">
        <v>267.14999999999998</v>
      </c>
      <c r="K179" s="5">
        <v>294.96999999999997</v>
      </c>
      <c r="L179" s="37">
        <v>407700</v>
      </c>
      <c r="M179" s="43">
        <v>225.46666666670001</v>
      </c>
      <c r="N179">
        <v>5</v>
      </c>
      <c r="O179" s="36">
        <f>Rådatakommune[[#This Row],[B16-O]]/Rådatakommune[[#This Row],[Landareal2016-O]]</f>
        <v>12.401272693243497</v>
      </c>
      <c r="P179" s="36">
        <f>Rådatakommune[[#This Row],[B16-O]]/Rådatakommune[[#This Row],[Totalareal2016-O]]</f>
        <v>11.231650676339967</v>
      </c>
      <c r="Q179" s="38">
        <f>Rådatakommune[[#This Row],[B16-O]]/Rådatakommune[[#This Row],[B06-O]]-1</f>
        <v>3.6352620418054205E-3</v>
      </c>
      <c r="R179" s="24">
        <f>Rådatakommune[[#This Row],[Kvinner20-39-O]]/Rådatakommune[[#This Row],[B16-O]]</f>
        <v>0.11469966797464534</v>
      </c>
      <c r="S179" s="24">
        <f>Rådatakommune[[#This Row],[Eldre67+-O]]/Rådatakommune[[#This Row],[B16-O]]</f>
        <v>0.16088137639601569</v>
      </c>
      <c r="T179" s="24">
        <f>Rådatakommune[[#This Row],[S15-O]]/Rådatakommune[[#This Row],[S05-O]]-1</f>
        <v>0.13636363636363646</v>
      </c>
      <c r="U179" s="24">
        <f>Rådatakommune[[#This Row],[Y15-O]]/Rådatakommune[[#This Row],[Folk20-64-O]]</f>
        <v>0.88276990185387127</v>
      </c>
    </row>
    <row r="180" spans="1:21" x14ac:dyDescent="0.3">
      <c r="A180" s="2" t="s">
        <v>178</v>
      </c>
      <c r="B180" s="37">
        <v>3098</v>
      </c>
      <c r="C180" s="37">
        <v>3243</v>
      </c>
      <c r="D180" s="37">
        <v>1635</v>
      </c>
      <c r="E180" s="40">
        <v>465</v>
      </c>
      <c r="F180" s="41">
        <v>366</v>
      </c>
      <c r="G180">
        <v>1798</v>
      </c>
      <c r="H180" s="46">
        <v>1490</v>
      </c>
      <c r="I180" s="37">
        <v>1452</v>
      </c>
      <c r="J180" s="42">
        <v>353.91</v>
      </c>
      <c r="K180" s="5">
        <v>408.42</v>
      </c>
      <c r="L180" s="37">
        <v>381300</v>
      </c>
      <c r="M180" s="43">
        <v>230.46666666670001</v>
      </c>
      <c r="N180">
        <v>6</v>
      </c>
      <c r="O180" s="36">
        <f>Rådatakommune[[#This Row],[B16-O]]/Rådatakommune[[#This Row],[Landareal2016-O]]</f>
        <v>9.1633466135458157</v>
      </c>
      <c r="P180" s="36">
        <f>Rådatakommune[[#This Row],[B16-O]]/Rådatakommune[[#This Row],[Totalareal2016-O]]</f>
        <v>7.9403555163801967</v>
      </c>
      <c r="Q180" s="38">
        <f>Rådatakommune[[#This Row],[B16-O]]/Rådatakommune[[#This Row],[B06-O]]-1</f>
        <v>4.6804389928986501E-2</v>
      </c>
      <c r="R180" s="24">
        <f>Rådatakommune[[#This Row],[Kvinner20-39-O]]/Rådatakommune[[#This Row],[B16-O]]</f>
        <v>0.11285846438482887</v>
      </c>
      <c r="S180" s="24">
        <f>Rådatakommune[[#This Row],[Eldre67+-O]]/Rådatakommune[[#This Row],[B16-O]]</f>
        <v>0.14338575393154487</v>
      </c>
      <c r="T180" s="24">
        <f>Rådatakommune[[#This Row],[S15-O]]/Rådatakommune[[#This Row],[S05-O]]-1</f>
        <v>-2.5503355704697972E-2</v>
      </c>
      <c r="U180" s="24">
        <f>Rådatakommune[[#This Row],[Y15-O]]/Rådatakommune[[#This Row],[Folk20-64-O]]</f>
        <v>0.90934371523915458</v>
      </c>
    </row>
    <row r="181" spans="1:21" x14ac:dyDescent="0.3">
      <c r="A181" s="2" t="s">
        <v>179</v>
      </c>
      <c r="B181" s="37">
        <v>2475</v>
      </c>
      <c r="C181" s="37">
        <v>2825</v>
      </c>
      <c r="D181" s="37">
        <v>1532</v>
      </c>
      <c r="E181" s="40">
        <v>325</v>
      </c>
      <c r="F181" s="41">
        <v>343</v>
      </c>
      <c r="G181">
        <v>1612</v>
      </c>
      <c r="H181" s="46">
        <v>1057</v>
      </c>
      <c r="I181" s="37">
        <v>1101</v>
      </c>
      <c r="J181" s="42">
        <v>577.29999999999995</v>
      </c>
      <c r="K181" s="5">
        <v>650.55999999999995</v>
      </c>
      <c r="L181" s="37">
        <v>430100</v>
      </c>
      <c r="M181" s="43">
        <v>189.85</v>
      </c>
      <c r="N181">
        <v>2</v>
      </c>
      <c r="O181" s="36">
        <f>Rådatakommune[[#This Row],[B16-O]]/Rådatakommune[[#This Row],[Landareal2016-O]]</f>
        <v>4.8934695998614242</v>
      </c>
      <c r="P181" s="36">
        <f>Rådatakommune[[#This Row],[B16-O]]/Rådatakommune[[#This Row],[Totalareal2016-O]]</f>
        <v>4.342412690605018</v>
      </c>
      <c r="Q181" s="38">
        <f>Rådatakommune[[#This Row],[B16-O]]/Rådatakommune[[#This Row],[B06-O]]-1</f>
        <v>0.14141414141414144</v>
      </c>
      <c r="R181" s="24">
        <f>Rådatakommune[[#This Row],[Kvinner20-39-O]]/Rådatakommune[[#This Row],[B16-O]]</f>
        <v>0.12141592920353983</v>
      </c>
      <c r="S181" s="24">
        <f>Rådatakommune[[#This Row],[Eldre67+-O]]/Rådatakommune[[#This Row],[B16-O]]</f>
        <v>0.11504424778761062</v>
      </c>
      <c r="T181" s="24">
        <f>Rådatakommune[[#This Row],[S15-O]]/Rådatakommune[[#This Row],[S05-O]]-1</f>
        <v>4.1627246925260097E-2</v>
      </c>
      <c r="U181" s="24">
        <f>Rådatakommune[[#This Row],[Y15-O]]/Rådatakommune[[#This Row],[Folk20-64-O]]</f>
        <v>0.95037220843672454</v>
      </c>
    </row>
    <row r="182" spans="1:21" x14ac:dyDescent="0.3">
      <c r="A182" s="2" t="s">
        <v>180</v>
      </c>
      <c r="B182" s="37">
        <v>14883</v>
      </c>
      <c r="C182" s="37">
        <v>18591</v>
      </c>
      <c r="D182" s="37">
        <v>9897</v>
      </c>
      <c r="E182" s="40">
        <v>2017</v>
      </c>
      <c r="F182" s="41">
        <v>2571</v>
      </c>
      <c r="G182">
        <v>10757</v>
      </c>
      <c r="H182" s="46">
        <v>6478</v>
      </c>
      <c r="I182" s="37">
        <v>7811</v>
      </c>
      <c r="J182" s="42">
        <v>247.78</v>
      </c>
      <c r="K182" s="5">
        <v>257.99</v>
      </c>
      <c r="L182" s="37">
        <v>427800</v>
      </c>
      <c r="M182" s="43">
        <v>185.6666666667</v>
      </c>
      <c r="N182">
        <v>2</v>
      </c>
      <c r="O182" s="36">
        <f>Rådatakommune[[#This Row],[B16-O]]/Rådatakommune[[#This Row],[Landareal2016-O]]</f>
        <v>75.030268786827023</v>
      </c>
      <c r="P182" s="36">
        <f>Rådatakommune[[#This Row],[B16-O]]/Rådatakommune[[#This Row],[Totalareal2016-O]]</f>
        <v>72.060932594286598</v>
      </c>
      <c r="Q182" s="38">
        <f>Rådatakommune[[#This Row],[B16-O]]/Rådatakommune[[#This Row],[B06-O]]-1</f>
        <v>0.24914331787945976</v>
      </c>
      <c r="R182" s="24">
        <f>Rådatakommune[[#This Row],[Kvinner20-39-O]]/Rådatakommune[[#This Row],[B16-O]]</f>
        <v>0.1382927222849766</v>
      </c>
      <c r="S182" s="24">
        <f>Rådatakommune[[#This Row],[Eldre67+-O]]/Rådatakommune[[#This Row],[B16-O]]</f>
        <v>0.10849335700069926</v>
      </c>
      <c r="T182" s="24">
        <f>Rådatakommune[[#This Row],[S15-O]]/Rådatakommune[[#This Row],[S05-O]]-1</f>
        <v>0.20577338684779245</v>
      </c>
      <c r="U182" s="24">
        <f>Rådatakommune[[#This Row],[Y15-O]]/Rådatakommune[[#This Row],[Folk20-64-O]]</f>
        <v>0.92005205912429111</v>
      </c>
    </row>
    <row r="183" spans="1:21" x14ac:dyDescent="0.3">
      <c r="A183" s="2" t="s">
        <v>181</v>
      </c>
      <c r="B183" s="37">
        <v>14832</v>
      </c>
      <c r="C183" s="37">
        <v>18970</v>
      </c>
      <c r="D183" s="37">
        <v>10009</v>
      </c>
      <c r="E183" s="40">
        <v>2011</v>
      </c>
      <c r="F183" s="41">
        <v>2591</v>
      </c>
      <c r="G183">
        <v>11010</v>
      </c>
      <c r="H183" s="46">
        <v>5680</v>
      </c>
      <c r="I183" s="37">
        <v>7997</v>
      </c>
      <c r="J183" s="42">
        <v>102.35</v>
      </c>
      <c r="K183" s="5">
        <v>113.49</v>
      </c>
      <c r="L183" s="37">
        <v>460500</v>
      </c>
      <c r="M183" s="43">
        <v>167.85</v>
      </c>
      <c r="N183">
        <v>2</v>
      </c>
      <c r="O183" s="36">
        <f>Rådatakommune[[#This Row],[B16-O]]/Rådatakommune[[#This Row],[Landareal2016-O]]</f>
        <v>185.34440644846117</v>
      </c>
      <c r="P183" s="36">
        <f>Rådatakommune[[#This Row],[B16-O]]/Rådatakommune[[#This Row],[Totalareal2016-O]]</f>
        <v>167.15129086263107</v>
      </c>
      <c r="Q183" s="38">
        <f>Rådatakommune[[#This Row],[B16-O]]/Rådatakommune[[#This Row],[B06-O]]-1</f>
        <v>0.27899137001078755</v>
      </c>
      <c r="R183" s="24">
        <f>Rådatakommune[[#This Row],[Kvinner20-39-O]]/Rådatakommune[[#This Row],[B16-O]]</f>
        <v>0.13658408012651554</v>
      </c>
      <c r="S183" s="24">
        <f>Rådatakommune[[#This Row],[Eldre67+-O]]/Rådatakommune[[#This Row],[B16-O]]</f>
        <v>0.10600948866631524</v>
      </c>
      <c r="T183" s="24">
        <f>Rådatakommune[[#This Row],[S15-O]]/Rådatakommune[[#This Row],[S05-O]]-1</f>
        <v>0.40792253521126765</v>
      </c>
      <c r="U183" s="24">
        <f>Rådatakommune[[#This Row],[Y15-O]]/Rådatakommune[[#This Row],[Folk20-64-O]]</f>
        <v>0.9090826521344233</v>
      </c>
    </row>
    <row r="184" spans="1:21" x14ac:dyDescent="0.3">
      <c r="A184" s="2" t="s">
        <v>182</v>
      </c>
      <c r="B184" s="37">
        <v>14807</v>
      </c>
      <c r="C184" s="37">
        <v>18572</v>
      </c>
      <c r="D184" s="37">
        <v>9859</v>
      </c>
      <c r="E184" s="40">
        <v>2010</v>
      </c>
      <c r="F184" s="41">
        <v>2600</v>
      </c>
      <c r="G184">
        <v>10999</v>
      </c>
      <c r="H184" s="46">
        <v>6772</v>
      </c>
      <c r="I184" s="37">
        <v>7529</v>
      </c>
      <c r="J184" s="42">
        <v>170.88</v>
      </c>
      <c r="K184" s="5">
        <v>183.19</v>
      </c>
      <c r="L184" s="37">
        <v>469000</v>
      </c>
      <c r="M184" s="43">
        <v>172.03333333329999</v>
      </c>
      <c r="N184">
        <v>2</v>
      </c>
      <c r="O184" s="36">
        <f>Rådatakommune[[#This Row],[B16-O]]/Rådatakommune[[#This Row],[Landareal2016-O]]</f>
        <v>108.68445692883896</v>
      </c>
      <c r="P184" s="36">
        <f>Rådatakommune[[#This Row],[B16-O]]/Rådatakommune[[#This Row],[Totalareal2016-O]]</f>
        <v>101.38107975326164</v>
      </c>
      <c r="Q184" s="38">
        <f>Rådatakommune[[#This Row],[B16-O]]/Rådatakommune[[#This Row],[B06-O]]-1</f>
        <v>0.25427162828391969</v>
      </c>
      <c r="R184" s="24">
        <f>Rådatakommune[[#This Row],[Kvinner20-39-O]]/Rådatakommune[[#This Row],[B16-O]]</f>
        <v>0.13999569244023261</v>
      </c>
      <c r="S184" s="24">
        <f>Rådatakommune[[#This Row],[Eldre67+-O]]/Rådatakommune[[#This Row],[B16-O]]</f>
        <v>0.10822743915571828</v>
      </c>
      <c r="T184" s="24">
        <f>Rådatakommune[[#This Row],[S15-O]]/Rådatakommune[[#This Row],[S05-O]]-1</f>
        <v>0.11178381571175433</v>
      </c>
      <c r="U184" s="24">
        <f>Rådatakommune[[#This Row],[Y15-O]]/Rådatakommune[[#This Row],[Folk20-64-O]]</f>
        <v>0.89635421401945636</v>
      </c>
    </row>
    <row r="185" spans="1:21" x14ac:dyDescent="0.3">
      <c r="A185" s="2" t="s">
        <v>183</v>
      </c>
      <c r="B185" s="37">
        <v>9426</v>
      </c>
      <c r="C185" s="37">
        <v>11853</v>
      </c>
      <c r="D185" s="37">
        <v>6405</v>
      </c>
      <c r="E185" s="40">
        <v>989</v>
      </c>
      <c r="F185" s="41">
        <v>1740</v>
      </c>
      <c r="G185">
        <v>7124</v>
      </c>
      <c r="H185" s="46">
        <v>2831</v>
      </c>
      <c r="I185" s="37">
        <v>3693</v>
      </c>
      <c r="J185" s="42">
        <v>558.20000000000005</v>
      </c>
      <c r="K185" s="5">
        <v>617.95000000000005</v>
      </c>
      <c r="L185" s="37">
        <v>450800</v>
      </c>
      <c r="M185" s="43">
        <v>171.65</v>
      </c>
      <c r="N185">
        <v>2</v>
      </c>
      <c r="O185" s="36">
        <f>Rådatakommune[[#This Row],[B16-O]]/Rådatakommune[[#This Row],[Landareal2016-O]]</f>
        <v>21.23432461483339</v>
      </c>
      <c r="P185" s="36">
        <f>Rådatakommune[[#This Row],[B16-O]]/Rådatakommune[[#This Row],[Totalareal2016-O]]</f>
        <v>19.181163524557</v>
      </c>
      <c r="Q185" s="38">
        <f>Rådatakommune[[#This Row],[B16-O]]/Rådatakommune[[#This Row],[B06-O]]-1</f>
        <v>0.25747931253978362</v>
      </c>
      <c r="R185" s="24">
        <f>Rådatakommune[[#This Row],[Kvinner20-39-O]]/Rådatakommune[[#This Row],[B16-O]]</f>
        <v>0.14679827891672995</v>
      </c>
      <c r="S185" s="24">
        <f>Rådatakommune[[#This Row],[Eldre67+-O]]/Rådatakommune[[#This Row],[B16-O]]</f>
        <v>8.3438791867037884E-2</v>
      </c>
      <c r="T185" s="24">
        <f>Rådatakommune[[#This Row],[S15-O]]/Rådatakommune[[#This Row],[S05-O]]-1</f>
        <v>0.30448604733309792</v>
      </c>
      <c r="U185" s="24">
        <f>Rådatakommune[[#This Row],[Y15-O]]/Rådatakommune[[#This Row],[Folk20-64-O]]</f>
        <v>0.89907355418304324</v>
      </c>
    </row>
    <row r="186" spans="1:21" x14ac:dyDescent="0.3">
      <c r="A186" s="2" t="s">
        <v>184</v>
      </c>
      <c r="B186" s="37">
        <v>20138</v>
      </c>
      <c r="C186" s="37">
        <v>26096</v>
      </c>
      <c r="D186" s="37">
        <v>13453</v>
      </c>
      <c r="E186" s="40">
        <v>2640</v>
      </c>
      <c r="F186" s="41">
        <v>3684</v>
      </c>
      <c r="G186">
        <v>15769</v>
      </c>
      <c r="H186" s="46">
        <v>14080</v>
      </c>
      <c r="I186" s="37">
        <v>23084</v>
      </c>
      <c r="J186" s="42">
        <v>68.47</v>
      </c>
      <c r="K186" s="5">
        <v>68.69</v>
      </c>
      <c r="L186" s="37">
        <v>587700</v>
      </c>
      <c r="M186" s="43">
        <v>154.28333333333001</v>
      </c>
      <c r="N186">
        <v>2</v>
      </c>
      <c r="O186" s="36">
        <f>Rådatakommune[[#This Row],[B16-O]]/Rådatakommune[[#This Row],[Landareal2016-O]]</f>
        <v>381.13042208266393</v>
      </c>
      <c r="P186" s="36">
        <f>Rådatakommune[[#This Row],[B16-O]]/Rådatakommune[[#This Row],[Totalareal2016-O]]</f>
        <v>379.90973940893872</v>
      </c>
      <c r="Q186" s="38">
        <f>Rådatakommune[[#This Row],[B16-O]]/Rådatakommune[[#This Row],[B06-O]]-1</f>
        <v>0.29585857582679509</v>
      </c>
      <c r="R186" s="24">
        <f>Rådatakommune[[#This Row],[Kvinner20-39-O]]/Rådatakommune[[#This Row],[B16-O]]</f>
        <v>0.14117106069895768</v>
      </c>
      <c r="S186" s="24">
        <f>Rådatakommune[[#This Row],[Eldre67+-O]]/Rådatakommune[[#This Row],[B16-O]]</f>
        <v>0.10116492949110975</v>
      </c>
      <c r="T186" s="24">
        <f>Rådatakommune[[#This Row],[S15-O]]/Rådatakommune[[#This Row],[S05-O]]-1</f>
        <v>0.63948863636363629</v>
      </c>
      <c r="U186" s="24">
        <f>Rådatakommune[[#This Row],[Y15-O]]/Rådatakommune[[#This Row],[Folk20-64-O]]</f>
        <v>0.85312955799353163</v>
      </c>
    </row>
    <row r="187" spans="1:21" x14ac:dyDescent="0.3">
      <c r="A187" s="2" t="s">
        <v>185</v>
      </c>
      <c r="B187" s="37">
        <v>9304</v>
      </c>
      <c r="C187" s="37">
        <v>10737</v>
      </c>
      <c r="D187" s="37">
        <v>5466</v>
      </c>
      <c r="E187" s="40">
        <v>1222</v>
      </c>
      <c r="F187" s="41">
        <v>1342</v>
      </c>
      <c r="G187">
        <v>6247</v>
      </c>
      <c r="H187" s="46">
        <v>3162</v>
      </c>
      <c r="I187" s="37">
        <v>3550</v>
      </c>
      <c r="J187" s="42">
        <v>24.11</v>
      </c>
      <c r="K187" s="5">
        <v>24.71</v>
      </c>
      <c r="L187" s="37">
        <v>517000</v>
      </c>
      <c r="M187" s="43">
        <v>166.8333333333</v>
      </c>
      <c r="N187">
        <v>2</v>
      </c>
      <c r="O187" s="36">
        <f>Rådatakommune[[#This Row],[B16-O]]/Rådatakommune[[#This Row],[Landareal2016-O]]</f>
        <v>445.33388635420988</v>
      </c>
      <c r="P187" s="36">
        <f>Rådatakommune[[#This Row],[B16-O]]/Rådatakommune[[#This Row],[Totalareal2016-O]]</f>
        <v>434.52043707001212</v>
      </c>
      <c r="Q187" s="38">
        <f>Rådatakommune[[#This Row],[B16-O]]/Rådatakommune[[#This Row],[B06-O]]-1</f>
        <v>0.15401977644024067</v>
      </c>
      <c r="R187" s="24">
        <f>Rådatakommune[[#This Row],[Kvinner20-39-O]]/Rådatakommune[[#This Row],[B16-O]]</f>
        <v>0.12498835801434292</v>
      </c>
      <c r="S187" s="24">
        <f>Rådatakommune[[#This Row],[Eldre67+-O]]/Rådatakommune[[#This Row],[B16-O]]</f>
        <v>0.11381205178355221</v>
      </c>
      <c r="T187" s="24">
        <f>Rådatakommune[[#This Row],[S15-O]]/Rådatakommune[[#This Row],[S05-O]]-1</f>
        <v>0.12270714737507915</v>
      </c>
      <c r="U187" s="24">
        <f>Rådatakommune[[#This Row],[Y15-O]]/Rådatakommune[[#This Row],[Folk20-64-O]]</f>
        <v>0.87497999039538976</v>
      </c>
    </row>
    <row r="188" spans="1:21" x14ac:dyDescent="0.3">
      <c r="A188" s="2" t="s">
        <v>186</v>
      </c>
      <c r="B188" s="37">
        <v>1092</v>
      </c>
      <c r="C188" s="37">
        <v>1238</v>
      </c>
      <c r="D188" s="37">
        <v>605</v>
      </c>
      <c r="E188" s="40">
        <v>177</v>
      </c>
      <c r="F188" s="41">
        <v>120</v>
      </c>
      <c r="G188">
        <v>664</v>
      </c>
      <c r="H188" s="46">
        <v>516</v>
      </c>
      <c r="I188" s="37">
        <v>539</v>
      </c>
      <c r="J188" s="42">
        <v>700.81</v>
      </c>
      <c r="K188" s="5">
        <v>780.05</v>
      </c>
      <c r="L188" s="37">
        <v>433800</v>
      </c>
      <c r="M188" s="43">
        <v>198.3333333333</v>
      </c>
      <c r="N188">
        <v>2</v>
      </c>
      <c r="O188" s="36">
        <f>Rådatakommune[[#This Row],[B16-O]]/Rådatakommune[[#This Row],[Landareal2016-O]]</f>
        <v>1.7665273041195191</v>
      </c>
      <c r="P188" s="36">
        <f>Rådatakommune[[#This Row],[B16-O]]/Rådatakommune[[#This Row],[Totalareal2016-O]]</f>
        <v>1.5870777514261907</v>
      </c>
      <c r="Q188" s="38">
        <f>Rådatakommune[[#This Row],[B16-O]]/Rådatakommune[[#This Row],[B06-O]]-1</f>
        <v>0.13369963369963367</v>
      </c>
      <c r="R188" s="24">
        <f>Rådatakommune[[#This Row],[Kvinner20-39-O]]/Rådatakommune[[#This Row],[B16-O]]</f>
        <v>9.6930533117932149E-2</v>
      </c>
      <c r="S188" s="24">
        <f>Rådatakommune[[#This Row],[Eldre67+-O]]/Rådatakommune[[#This Row],[B16-O]]</f>
        <v>0.14297253634894991</v>
      </c>
      <c r="T188" s="24">
        <f>Rådatakommune[[#This Row],[S15-O]]/Rådatakommune[[#This Row],[S05-O]]-1</f>
        <v>4.4573643410852792E-2</v>
      </c>
      <c r="U188" s="24">
        <f>Rådatakommune[[#This Row],[Y15-O]]/Rådatakommune[[#This Row],[Folk20-64-O]]</f>
        <v>0.91114457831325302</v>
      </c>
    </row>
    <row r="189" spans="1:21" x14ac:dyDescent="0.3">
      <c r="A189" s="2" t="s">
        <v>187</v>
      </c>
      <c r="B189" s="37">
        <v>10566</v>
      </c>
      <c r="C189" s="37">
        <v>12464</v>
      </c>
      <c r="D189" s="37">
        <v>6000</v>
      </c>
      <c r="E189" s="40">
        <v>1603</v>
      </c>
      <c r="F189" s="41">
        <v>1593</v>
      </c>
      <c r="G189">
        <v>7062</v>
      </c>
      <c r="H189" s="46">
        <v>3547</v>
      </c>
      <c r="I189" s="37">
        <v>4139</v>
      </c>
      <c r="J189" s="42">
        <v>195.27</v>
      </c>
      <c r="K189" s="5">
        <v>218.14000000000001</v>
      </c>
      <c r="L189" s="37">
        <v>435200</v>
      </c>
      <c r="M189" s="43">
        <v>206.5666666667</v>
      </c>
      <c r="N189">
        <v>2</v>
      </c>
      <c r="O189" s="36">
        <f>Rådatakommune[[#This Row],[B16-O]]/Rådatakommune[[#This Row],[Landareal2016-O]]</f>
        <v>63.829569314282786</v>
      </c>
      <c r="P189" s="36">
        <f>Rådatakommune[[#This Row],[B16-O]]/Rådatakommune[[#This Row],[Totalareal2016-O]]</f>
        <v>57.137618043458325</v>
      </c>
      <c r="Q189" s="38">
        <f>Rådatakommune[[#This Row],[B16-O]]/Rådatakommune[[#This Row],[B06-O]]-1</f>
        <v>0.17963278440280139</v>
      </c>
      <c r="R189" s="24">
        <f>Rådatakommune[[#This Row],[Kvinner20-39-O]]/Rådatakommune[[#This Row],[B16-O]]</f>
        <v>0.12780808729139922</v>
      </c>
      <c r="S189" s="24">
        <f>Rådatakommune[[#This Row],[Eldre67+-O]]/Rådatakommune[[#This Row],[B16-O]]</f>
        <v>0.12861039794608473</v>
      </c>
      <c r="T189" s="24">
        <f>Rådatakommune[[#This Row],[S15-O]]/Rådatakommune[[#This Row],[S05-O]]-1</f>
        <v>0.1669016069918241</v>
      </c>
      <c r="U189" s="24">
        <f>Rådatakommune[[#This Row],[Y15-O]]/Rådatakommune[[#This Row],[Folk20-64-O]]</f>
        <v>0.84961767204757854</v>
      </c>
    </row>
    <row r="190" spans="1:21" x14ac:dyDescent="0.3">
      <c r="A190" s="2" t="s">
        <v>188</v>
      </c>
      <c r="B190" s="37">
        <v>2723</v>
      </c>
      <c r="C190" s="37">
        <v>2737</v>
      </c>
      <c r="D190" s="37">
        <v>1372</v>
      </c>
      <c r="E190" s="40">
        <v>447</v>
      </c>
      <c r="F190" s="41">
        <v>280</v>
      </c>
      <c r="G190">
        <v>1453</v>
      </c>
      <c r="H190" s="46">
        <v>1466</v>
      </c>
      <c r="I190" s="37">
        <v>1270</v>
      </c>
      <c r="J190" s="42">
        <v>972.15</v>
      </c>
      <c r="K190" s="5">
        <v>1088.82</v>
      </c>
      <c r="L190" s="37">
        <v>437900</v>
      </c>
      <c r="M190" s="43">
        <v>248.9</v>
      </c>
      <c r="N190">
        <v>11</v>
      </c>
      <c r="O190" s="36">
        <f>Rådatakommune[[#This Row],[B16-O]]/Rådatakommune[[#This Row],[Landareal2016-O]]</f>
        <v>2.815409144679319</v>
      </c>
      <c r="P190" s="36">
        <f>Rådatakommune[[#This Row],[B16-O]]/Rådatakommune[[#This Row],[Totalareal2016-O]]</f>
        <v>2.5137304604985213</v>
      </c>
      <c r="Q190" s="38">
        <f>Rådatakommune[[#This Row],[B16-O]]/Rådatakommune[[#This Row],[B06-O]]-1</f>
        <v>5.1413881748072487E-3</v>
      </c>
      <c r="R190" s="24">
        <f>Rådatakommune[[#This Row],[Kvinner20-39-O]]/Rådatakommune[[#This Row],[B16-O]]</f>
        <v>0.10230179028132992</v>
      </c>
      <c r="S190" s="24">
        <f>Rådatakommune[[#This Row],[Eldre67+-O]]/Rådatakommune[[#This Row],[B16-O]]</f>
        <v>0.16331750091340885</v>
      </c>
      <c r="T190" s="24">
        <f>Rådatakommune[[#This Row],[S15-O]]/Rådatakommune[[#This Row],[S05-O]]-1</f>
        <v>-0.13369713506139158</v>
      </c>
      <c r="U190" s="24">
        <f>Rådatakommune[[#This Row],[Y15-O]]/Rådatakommune[[#This Row],[Folk20-64-O]]</f>
        <v>0.94425326909841711</v>
      </c>
    </row>
    <row r="191" spans="1:21" x14ac:dyDescent="0.3">
      <c r="A191" s="2" t="s">
        <v>189</v>
      </c>
      <c r="B191" s="37">
        <v>3883</v>
      </c>
      <c r="C191" s="37">
        <v>3903</v>
      </c>
      <c r="D191" s="37">
        <v>2037</v>
      </c>
      <c r="E191" s="40">
        <v>665</v>
      </c>
      <c r="F191" s="41">
        <v>432</v>
      </c>
      <c r="G191">
        <v>2120</v>
      </c>
      <c r="H191" s="46">
        <v>1924</v>
      </c>
      <c r="I191" s="37">
        <v>2185</v>
      </c>
      <c r="J191" s="42">
        <v>1585.66</v>
      </c>
      <c r="K191" s="5">
        <v>1736.88</v>
      </c>
      <c r="L191" s="37">
        <v>397900</v>
      </c>
      <c r="M191" s="43">
        <v>238.03333333329999</v>
      </c>
      <c r="N191">
        <v>10</v>
      </c>
      <c r="O191" s="36">
        <f>Rådatakommune[[#This Row],[B16-O]]/Rådatakommune[[#This Row],[Landareal2016-O]]</f>
        <v>2.4614356167148062</v>
      </c>
      <c r="P191" s="36">
        <f>Rådatakommune[[#This Row],[B16-O]]/Rådatakommune[[#This Row],[Totalareal2016-O]]</f>
        <v>2.2471327898300397</v>
      </c>
      <c r="Q191" s="38">
        <f>Rådatakommune[[#This Row],[B16-O]]/Rådatakommune[[#This Row],[B06-O]]-1</f>
        <v>5.1506567087302724E-3</v>
      </c>
      <c r="R191" s="24">
        <f>Rådatakommune[[#This Row],[Kvinner20-39-O]]/Rådatakommune[[#This Row],[B16-O]]</f>
        <v>0.11068408916218293</v>
      </c>
      <c r="S191" s="24">
        <f>Rådatakommune[[#This Row],[Eldre67+-O]]/Rådatakommune[[#This Row],[B16-O]]</f>
        <v>0.17038175762234178</v>
      </c>
      <c r="T191" s="24">
        <f>Rådatakommune[[#This Row],[S15-O]]/Rådatakommune[[#This Row],[S05-O]]-1</f>
        <v>0.13565488565488559</v>
      </c>
      <c r="U191" s="24">
        <f>Rådatakommune[[#This Row],[Y15-O]]/Rådatakommune[[#This Row],[Folk20-64-O]]</f>
        <v>0.96084905660377362</v>
      </c>
    </row>
    <row r="192" spans="1:21" x14ac:dyDescent="0.3">
      <c r="A192" s="2" t="s">
        <v>190</v>
      </c>
      <c r="B192" s="37">
        <v>4769</v>
      </c>
      <c r="C192" s="37">
        <v>4710</v>
      </c>
      <c r="D192" s="37">
        <v>2261</v>
      </c>
      <c r="E192" s="40">
        <v>880</v>
      </c>
      <c r="F192" s="41">
        <v>521</v>
      </c>
      <c r="G192">
        <v>2617</v>
      </c>
      <c r="H192" s="46">
        <v>1998</v>
      </c>
      <c r="I192" s="37">
        <v>1972</v>
      </c>
      <c r="J192" s="42">
        <v>508.39</v>
      </c>
      <c r="K192" s="5">
        <v>546.30999999999995</v>
      </c>
      <c r="L192" s="37">
        <v>402000</v>
      </c>
      <c r="M192" s="43">
        <v>250.08333333299998</v>
      </c>
      <c r="N192">
        <v>9</v>
      </c>
      <c r="O192" s="36">
        <f>Rådatakommune[[#This Row],[B16-O]]/Rådatakommune[[#This Row],[Landareal2016-O]]</f>
        <v>9.2645410019866645</v>
      </c>
      <c r="P192" s="36">
        <f>Rådatakommune[[#This Row],[B16-O]]/Rådatakommune[[#This Row],[Totalareal2016-O]]</f>
        <v>8.6214786476542624</v>
      </c>
      <c r="Q192" s="38">
        <f>Rådatakommune[[#This Row],[B16-O]]/Rådatakommune[[#This Row],[B06-O]]-1</f>
        <v>-1.2371566366114473E-2</v>
      </c>
      <c r="R192" s="24">
        <f>Rådatakommune[[#This Row],[Kvinner20-39-O]]/Rådatakommune[[#This Row],[B16-O]]</f>
        <v>0.11061571125265393</v>
      </c>
      <c r="S192" s="24">
        <f>Rådatakommune[[#This Row],[Eldre67+-O]]/Rådatakommune[[#This Row],[B16-O]]</f>
        <v>0.18683651804670912</v>
      </c>
      <c r="T192" s="24">
        <f>Rådatakommune[[#This Row],[S15-O]]/Rådatakommune[[#This Row],[S05-O]]-1</f>
        <v>-1.3013013013013053E-2</v>
      </c>
      <c r="U192" s="24">
        <f>Rådatakommune[[#This Row],[Y15-O]]/Rådatakommune[[#This Row],[Folk20-64-O]]</f>
        <v>0.86396637371035534</v>
      </c>
    </row>
    <row r="193" spans="1:21" x14ac:dyDescent="0.3">
      <c r="A193" s="2" t="s">
        <v>191</v>
      </c>
      <c r="B193" s="37">
        <v>2729</v>
      </c>
      <c r="C193" s="37">
        <v>3221</v>
      </c>
      <c r="D193" s="37">
        <v>1738</v>
      </c>
      <c r="E193" s="40">
        <v>476</v>
      </c>
      <c r="F193" s="41">
        <v>399</v>
      </c>
      <c r="G193">
        <v>1826</v>
      </c>
      <c r="H193" s="46">
        <v>1226</v>
      </c>
      <c r="I193" s="37">
        <v>1375</v>
      </c>
      <c r="J193" s="42">
        <v>102.9</v>
      </c>
      <c r="K193" s="5">
        <v>104.41000000000001</v>
      </c>
      <c r="L193" s="37">
        <v>448300</v>
      </c>
      <c r="M193" s="43">
        <v>193.15</v>
      </c>
      <c r="N193">
        <v>2</v>
      </c>
      <c r="O193" s="36">
        <f>Rådatakommune[[#This Row],[B16-O]]/Rådatakommune[[#This Row],[Landareal2016-O]]</f>
        <v>31.302235179786198</v>
      </c>
      <c r="P193" s="36">
        <f>Rådatakommune[[#This Row],[B16-O]]/Rådatakommune[[#This Row],[Totalareal2016-O]]</f>
        <v>30.849535485106788</v>
      </c>
      <c r="Q193" s="38">
        <f>Rådatakommune[[#This Row],[B16-O]]/Rådatakommune[[#This Row],[B06-O]]-1</f>
        <v>0.18028581898131191</v>
      </c>
      <c r="R193" s="24">
        <f>Rådatakommune[[#This Row],[Kvinner20-39-O]]/Rådatakommune[[#This Row],[B16-O]]</f>
        <v>0.12387457311393978</v>
      </c>
      <c r="S193" s="24">
        <f>Rådatakommune[[#This Row],[Eldre67+-O]]/Rådatakommune[[#This Row],[B16-O]]</f>
        <v>0.14778019248680535</v>
      </c>
      <c r="T193" s="24">
        <f>Rådatakommune[[#This Row],[S15-O]]/Rådatakommune[[#This Row],[S05-O]]-1</f>
        <v>0.12153344208809136</v>
      </c>
      <c r="U193" s="24">
        <f>Rådatakommune[[#This Row],[Y15-O]]/Rådatakommune[[#This Row],[Folk20-64-O]]</f>
        <v>0.95180722891566261</v>
      </c>
    </row>
    <row r="194" spans="1:21" x14ac:dyDescent="0.3">
      <c r="A194" s="2" t="s">
        <v>192</v>
      </c>
      <c r="B194" s="37">
        <v>3412</v>
      </c>
      <c r="C194" s="37">
        <v>4856</v>
      </c>
      <c r="D194" s="37">
        <v>2585</v>
      </c>
      <c r="E194" s="40">
        <v>483</v>
      </c>
      <c r="F194" s="41">
        <v>603</v>
      </c>
      <c r="G194">
        <v>2824</v>
      </c>
      <c r="H194" s="46">
        <v>1074</v>
      </c>
      <c r="I194" s="37">
        <v>1208</v>
      </c>
      <c r="J194" s="42">
        <v>64.900000000000006</v>
      </c>
      <c r="K194" s="5">
        <v>65.510000000000005</v>
      </c>
      <c r="L194" s="37">
        <v>524800</v>
      </c>
      <c r="M194" s="43">
        <v>180.8</v>
      </c>
      <c r="N194">
        <v>2</v>
      </c>
      <c r="O194" s="36">
        <f>Rådatakommune[[#This Row],[B16-O]]/Rådatakommune[[#This Row],[Landareal2016-O]]</f>
        <v>74.82280431432973</v>
      </c>
      <c r="P194" s="36">
        <f>Rådatakommune[[#This Row],[B16-O]]/Rådatakommune[[#This Row],[Totalareal2016-O]]</f>
        <v>74.126087620210654</v>
      </c>
      <c r="Q194" s="38">
        <f>Rådatakommune[[#This Row],[B16-O]]/Rådatakommune[[#This Row],[B06-O]]-1</f>
        <v>0.42321219226260265</v>
      </c>
      <c r="R194" s="24">
        <f>Rådatakommune[[#This Row],[Kvinner20-39-O]]/Rådatakommune[[#This Row],[B16-O]]</f>
        <v>0.12417627677100494</v>
      </c>
      <c r="S194" s="24">
        <f>Rådatakommune[[#This Row],[Eldre67+-O]]/Rådatakommune[[#This Row],[B16-O]]</f>
        <v>9.9464579901153219E-2</v>
      </c>
      <c r="T194" s="24">
        <f>Rådatakommune[[#This Row],[S15-O]]/Rådatakommune[[#This Row],[S05-O]]-1</f>
        <v>0.12476722532588447</v>
      </c>
      <c r="U194" s="24">
        <f>Rådatakommune[[#This Row],[Y15-O]]/Rådatakommune[[#This Row],[Folk20-64-O]]</f>
        <v>0.91536827195467418</v>
      </c>
    </row>
    <row r="195" spans="1:21" x14ac:dyDescent="0.3">
      <c r="A195" s="2" t="s">
        <v>193</v>
      </c>
      <c r="B195" s="37">
        <v>521</v>
      </c>
      <c r="C195" s="37">
        <v>524</v>
      </c>
      <c r="D195" s="37">
        <v>267</v>
      </c>
      <c r="E195" s="40">
        <v>102</v>
      </c>
      <c r="F195" s="41">
        <v>50</v>
      </c>
      <c r="G195">
        <v>279</v>
      </c>
      <c r="H195" s="46">
        <v>268</v>
      </c>
      <c r="I195" s="37">
        <v>318</v>
      </c>
      <c r="J195" s="42">
        <v>6.28</v>
      </c>
      <c r="K195" s="5">
        <v>6.29</v>
      </c>
      <c r="L195" s="37">
        <v>418500</v>
      </c>
      <c r="M195" s="43">
        <v>224.55</v>
      </c>
      <c r="N195">
        <v>2</v>
      </c>
      <c r="O195" s="36">
        <f>Rådatakommune[[#This Row],[B16-O]]/Rådatakommune[[#This Row],[Landareal2016-O]]</f>
        <v>83.439490445859875</v>
      </c>
      <c r="P195" s="36">
        <f>Rådatakommune[[#This Row],[B16-O]]/Rådatakommune[[#This Row],[Totalareal2016-O]]</f>
        <v>83.306836248012715</v>
      </c>
      <c r="Q195" s="38">
        <f>Rådatakommune[[#This Row],[B16-O]]/Rådatakommune[[#This Row],[B06-O]]-1</f>
        <v>5.7581573896352545E-3</v>
      </c>
      <c r="R195" s="24">
        <f>Rådatakommune[[#This Row],[Kvinner20-39-O]]/Rådatakommune[[#This Row],[B16-O]]</f>
        <v>9.5419847328244281E-2</v>
      </c>
      <c r="S195" s="24">
        <f>Rådatakommune[[#This Row],[Eldre67+-O]]/Rådatakommune[[#This Row],[B16-O]]</f>
        <v>0.19465648854961831</v>
      </c>
      <c r="T195" s="24">
        <f>Rådatakommune[[#This Row],[S15-O]]/Rådatakommune[[#This Row],[S05-O]]-1</f>
        <v>0.18656716417910446</v>
      </c>
      <c r="U195" s="24">
        <f>Rådatakommune[[#This Row],[Y15-O]]/Rådatakommune[[#This Row],[Folk20-64-O]]</f>
        <v>0.956989247311828</v>
      </c>
    </row>
    <row r="196" spans="1:21" x14ac:dyDescent="0.3">
      <c r="A196" s="2" t="s">
        <v>194</v>
      </c>
      <c r="B196" s="37">
        <v>770</v>
      </c>
      <c r="C196" s="37">
        <v>865</v>
      </c>
      <c r="D196" s="37">
        <v>421</v>
      </c>
      <c r="E196" s="40">
        <v>150</v>
      </c>
      <c r="F196" s="41">
        <v>93</v>
      </c>
      <c r="G196">
        <v>463</v>
      </c>
      <c r="H196" s="46">
        <v>282</v>
      </c>
      <c r="I196" s="37">
        <v>297</v>
      </c>
      <c r="J196" s="42">
        <v>44.56</v>
      </c>
      <c r="K196" s="5">
        <v>47.160000000000004</v>
      </c>
      <c r="L196" s="37">
        <v>409800</v>
      </c>
      <c r="M196" s="43">
        <v>177.36666666669998</v>
      </c>
      <c r="N196">
        <v>4</v>
      </c>
      <c r="O196" s="36">
        <f>Rådatakommune[[#This Row],[B16-O]]/Rådatakommune[[#This Row],[Landareal2016-O]]</f>
        <v>19.412028725314183</v>
      </c>
      <c r="P196" s="36">
        <f>Rådatakommune[[#This Row],[B16-O]]/Rådatakommune[[#This Row],[Totalareal2016-O]]</f>
        <v>18.341815097540287</v>
      </c>
      <c r="Q196" s="38">
        <f>Rådatakommune[[#This Row],[B16-O]]/Rådatakommune[[#This Row],[B06-O]]-1</f>
        <v>0.12337662337662336</v>
      </c>
      <c r="R196" s="24">
        <f>Rådatakommune[[#This Row],[Kvinner20-39-O]]/Rådatakommune[[#This Row],[B16-O]]</f>
        <v>0.10751445086705202</v>
      </c>
      <c r="S196" s="24">
        <f>Rådatakommune[[#This Row],[Eldre67+-O]]/Rådatakommune[[#This Row],[B16-O]]</f>
        <v>0.17341040462427745</v>
      </c>
      <c r="T196" s="24">
        <f>Rådatakommune[[#This Row],[S15-O]]/Rådatakommune[[#This Row],[S05-O]]-1</f>
        <v>5.3191489361702038E-2</v>
      </c>
      <c r="U196" s="24">
        <f>Rådatakommune[[#This Row],[Y15-O]]/Rådatakommune[[#This Row],[Folk20-64-O]]</f>
        <v>0.90928725701943847</v>
      </c>
    </row>
    <row r="197" spans="1:21" x14ac:dyDescent="0.3">
      <c r="A197" s="2" t="s">
        <v>195</v>
      </c>
      <c r="B197" s="37">
        <v>9349</v>
      </c>
      <c r="C197" s="37">
        <v>10925</v>
      </c>
      <c r="D197" s="37">
        <v>5397</v>
      </c>
      <c r="E197" s="40">
        <v>1395</v>
      </c>
      <c r="F197" s="41">
        <v>1335</v>
      </c>
      <c r="G197">
        <v>6026</v>
      </c>
      <c r="H197" s="46">
        <v>3679</v>
      </c>
      <c r="I197" s="37">
        <v>4267</v>
      </c>
      <c r="J197" s="42">
        <v>399.78</v>
      </c>
      <c r="K197" s="5">
        <v>425.40999999999997</v>
      </c>
      <c r="L197" s="37">
        <v>424900</v>
      </c>
      <c r="M197" s="43">
        <v>169.13333333330002</v>
      </c>
      <c r="N197">
        <v>4</v>
      </c>
      <c r="O197" s="36">
        <f>Rådatakommune[[#This Row],[B16-O]]/Rådatakommune[[#This Row],[Landareal2016-O]]</f>
        <v>27.327530141577871</v>
      </c>
      <c r="P197" s="36">
        <f>Rådatakommune[[#This Row],[B16-O]]/Rådatakommune[[#This Row],[Totalareal2016-O]]</f>
        <v>25.681107637338098</v>
      </c>
      <c r="Q197" s="38">
        <f>Rådatakommune[[#This Row],[B16-O]]/Rådatakommune[[#This Row],[B06-O]]-1</f>
        <v>0.16857417905658356</v>
      </c>
      <c r="R197" s="24">
        <f>Rådatakommune[[#This Row],[Kvinner20-39-O]]/Rådatakommune[[#This Row],[B16-O]]</f>
        <v>0.12219679633867277</v>
      </c>
      <c r="S197" s="24">
        <f>Rådatakommune[[#This Row],[Eldre67+-O]]/Rådatakommune[[#This Row],[B16-O]]</f>
        <v>0.1276887871853547</v>
      </c>
      <c r="T197" s="24">
        <f>Rådatakommune[[#This Row],[S15-O]]/Rådatakommune[[#This Row],[S05-O]]-1</f>
        <v>0.15982603968469689</v>
      </c>
      <c r="U197" s="24">
        <f>Rådatakommune[[#This Row],[Y15-O]]/Rådatakommune[[#This Row],[Folk20-64-O]]</f>
        <v>0.89561898440092935</v>
      </c>
    </row>
    <row r="198" spans="1:21" x14ac:dyDescent="0.3">
      <c r="A198" s="2" t="s">
        <v>196</v>
      </c>
      <c r="B198" s="37">
        <v>37928</v>
      </c>
      <c r="C198" s="37">
        <v>42187</v>
      </c>
      <c r="D198" s="37">
        <v>19804</v>
      </c>
      <c r="E198" s="40">
        <v>5740</v>
      </c>
      <c r="F198" s="41">
        <v>5246</v>
      </c>
      <c r="G198">
        <v>24216</v>
      </c>
      <c r="H198" s="46">
        <v>13942</v>
      </c>
      <c r="I198" s="37">
        <v>14989</v>
      </c>
      <c r="J198" s="42">
        <v>219.52</v>
      </c>
      <c r="K198" s="5">
        <v>229.94</v>
      </c>
      <c r="L198" s="37">
        <v>410900</v>
      </c>
      <c r="M198" s="43">
        <v>160.85</v>
      </c>
      <c r="N198">
        <v>4</v>
      </c>
      <c r="O198" s="36">
        <f>Rådatakommune[[#This Row],[B16-O]]/Rådatakommune[[#This Row],[Landareal2016-O]]</f>
        <v>192.17838921282797</v>
      </c>
      <c r="P198" s="36">
        <f>Rådatakommune[[#This Row],[B16-O]]/Rådatakommune[[#This Row],[Totalareal2016-O]]</f>
        <v>183.46960076541706</v>
      </c>
      <c r="Q198" s="38">
        <f>Rådatakommune[[#This Row],[B16-O]]/Rådatakommune[[#This Row],[B06-O]]-1</f>
        <v>0.11229171060957599</v>
      </c>
      <c r="R198" s="24">
        <f>Rådatakommune[[#This Row],[Kvinner20-39-O]]/Rådatakommune[[#This Row],[B16-O]]</f>
        <v>0.12435110342048498</v>
      </c>
      <c r="S198" s="24">
        <f>Rådatakommune[[#This Row],[Eldre67+-O]]/Rådatakommune[[#This Row],[B16-O]]</f>
        <v>0.13606087183255505</v>
      </c>
      <c r="T198" s="24">
        <f>Rådatakommune[[#This Row],[S15-O]]/Rådatakommune[[#This Row],[S05-O]]-1</f>
        <v>7.5096829723138692E-2</v>
      </c>
      <c r="U198" s="24">
        <f>Rådatakommune[[#This Row],[Y15-O]]/Rådatakommune[[#This Row],[Folk20-64-O]]</f>
        <v>0.81780640898579449</v>
      </c>
    </row>
    <row r="199" spans="1:21" x14ac:dyDescent="0.3">
      <c r="A199" s="2" t="s">
        <v>197</v>
      </c>
      <c r="B199" s="37">
        <v>209</v>
      </c>
      <c r="C199" s="37">
        <v>200</v>
      </c>
      <c r="D199" s="37">
        <v>110</v>
      </c>
      <c r="E199" s="40">
        <v>35</v>
      </c>
      <c r="F199" s="41">
        <v>24</v>
      </c>
      <c r="G199">
        <v>111</v>
      </c>
      <c r="H199" s="46">
        <v>110</v>
      </c>
      <c r="I199" s="37">
        <v>97</v>
      </c>
      <c r="J199" s="42">
        <v>6.3</v>
      </c>
      <c r="K199" s="5">
        <v>6.33</v>
      </c>
      <c r="L199" s="37">
        <v>444800</v>
      </c>
      <c r="M199" s="43">
        <v>233.8</v>
      </c>
      <c r="N199">
        <v>11</v>
      </c>
      <c r="O199" s="36">
        <f>Rådatakommune[[#This Row],[B16-O]]/Rådatakommune[[#This Row],[Landareal2016-O]]</f>
        <v>31.746031746031747</v>
      </c>
      <c r="P199" s="36">
        <f>Rådatakommune[[#This Row],[B16-O]]/Rådatakommune[[#This Row],[Totalareal2016-O]]</f>
        <v>31.595576619273302</v>
      </c>
      <c r="Q199" s="38">
        <f>Rådatakommune[[#This Row],[B16-O]]/Rådatakommune[[#This Row],[B06-O]]-1</f>
        <v>-4.3062200956937802E-2</v>
      </c>
      <c r="R199" s="24">
        <f>Rådatakommune[[#This Row],[Kvinner20-39-O]]/Rådatakommune[[#This Row],[B16-O]]</f>
        <v>0.12</v>
      </c>
      <c r="S199" s="24">
        <f>Rådatakommune[[#This Row],[Eldre67+-O]]/Rådatakommune[[#This Row],[B16-O]]</f>
        <v>0.17499999999999999</v>
      </c>
      <c r="T199" s="24">
        <f>Rådatakommune[[#This Row],[S15-O]]/Rådatakommune[[#This Row],[S05-O]]-1</f>
        <v>-0.11818181818181817</v>
      </c>
      <c r="U199" s="24">
        <f>Rådatakommune[[#This Row],[Y15-O]]/Rådatakommune[[#This Row],[Folk20-64-O]]</f>
        <v>0.99099099099099097</v>
      </c>
    </row>
    <row r="200" spans="1:21" x14ac:dyDescent="0.3">
      <c r="A200" s="2" t="s">
        <v>198</v>
      </c>
      <c r="B200" s="37">
        <v>8119</v>
      </c>
      <c r="C200" s="37">
        <v>8788</v>
      </c>
      <c r="D200" s="37">
        <v>4613</v>
      </c>
      <c r="E200" s="40">
        <v>1271</v>
      </c>
      <c r="F200" s="41">
        <v>1033</v>
      </c>
      <c r="G200">
        <v>5002</v>
      </c>
      <c r="H200" s="46">
        <v>4116</v>
      </c>
      <c r="I200" s="37">
        <v>4963</v>
      </c>
      <c r="J200" s="42">
        <v>598.89</v>
      </c>
      <c r="K200" s="5">
        <v>620.59</v>
      </c>
      <c r="L200" s="37">
        <v>416100</v>
      </c>
      <c r="M200" s="43">
        <v>199.4</v>
      </c>
      <c r="N200">
        <v>4</v>
      </c>
      <c r="O200" s="36">
        <f>Rådatakommune[[#This Row],[B16-O]]/Rådatakommune[[#This Row],[Landareal2016-O]]</f>
        <v>14.67381322112575</v>
      </c>
      <c r="P200" s="36">
        <f>Rådatakommune[[#This Row],[B16-O]]/Rådatakommune[[#This Row],[Totalareal2016-O]]</f>
        <v>14.160718026394237</v>
      </c>
      <c r="Q200" s="38">
        <f>Rådatakommune[[#This Row],[B16-O]]/Rådatakommune[[#This Row],[B06-O]]-1</f>
        <v>8.2399310259884118E-2</v>
      </c>
      <c r="R200" s="24">
        <f>Rådatakommune[[#This Row],[Kvinner20-39-O]]/Rådatakommune[[#This Row],[B16-O]]</f>
        <v>0.11754665452890305</v>
      </c>
      <c r="S200" s="24">
        <f>Rådatakommune[[#This Row],[Eldre67+-O]]/Rådatakommune[[#This Row],[B16-O]]</f>
        <v>0.14462903959945381</v>
      </c>
      <c r="T200" s="24">
        <f>Rådatakommune[[#This Row],[S15-O]]/Rådatakommune[[#This Row],[S05-O]]-1</f>
        <v>0.20578231292517013</v>
      </c>
      <c r="U200" s="24">
        <f>Rådatakommune[[#This Row],[Y15-O]]/Rådatakommune[[#This Row],[Folk20-64-O]]</f>
        <v>0.92223110755697724</v>
      </c>
    </row>
    <row r="201" spans="1:21" x14ac:dyDescent="0.3">
      <c r="A201" s="2" t="s">
        <v>199</v>
      </c>
      <c r="B201" s="37">
        <v>242158</v>
      </c>
      <c r="C201" s="37">
        <v>277391</v>
      </c>
      <c r="D201" s="37">
        <v>142127</v>
      </c>
      <c r="E201" s="40">
        <v>36143</v>
      </c>
      <c r="F201" s="41">
        <v>42012</v>
      </c>
      <c r="G201">
        <v>172639</v>
      </c>
      <c r="H201" s="46">
        <v>139358</v>
      </c>
      <c r="I201" s="37">
        <v>161655</v>
      </c>
      <c r="J201" s="42">
        <v>445.07</v>
      </c>
      <c r="K201" s="5">
        <v>464.7</v>
      </c>
      <c r="L201" s="37">
        <v>442200</v>
      </c>
      <c r="M201" s="43">
        <v>165.35</v>
      </c>
      <c r="N201">
        <v>1</v>
      </c>
      <c r="O201" s="36">
        <f>Rådatakommune[[#This Row],[B16-O]]/Rådatakommune[[#This Row],[Landareal2016-O]]</f>
        <v>623.25252207517917</v>
      </c>
      <c r="P201" s="36">
        <f>Rådatakommune[[#This Row],[B16-O]]/Rådatakommune[[#This Row],[Totalareal2016-O]]</f>
        <v>596.92489778351626</v>
      </c>
      <c r="Q201" s="38">
        <f>Rådatakommune[[#This Row],[B16-O]]/Rådatakommune[[#This Row],[B06-O]]-1</f>
        <v>0.14549591588962585</v>
      </c>
      <c r="R201" s="24">
        <f>Rådatakommune[[#This Row],[Kvinner20-39-O]]/Rådatakommune[[#This Row],[B16-O]]</f>
        <v>0.15145408466749102</v>
      </c>
      <c r="S201" s="24">
        <f>Rådatakommune[[#This Row],[Eldre67+-O]]/Rådatakommune[[#This Row],[B16-O]]</f>
        <v>0.1302962244629422</v>
      </c>
      <c r="T201" s="24">
        <f>Rådatakommune[[#This Row],[S15-O]]/Rådatakommune[[#This Row],[S05-O]]-1</f>
        <v>0.15999799078632004</v>
      </c>
      <c r="U201" s="24">
        <f>Rådatakommune[[#This Row],[Y15-O]]/Rådatakommune[[#This Row],[Folk20-64-O]]</f>
        <v>0.82326125614722045</v>
      </c>
    </row>
    <row r="202" spans="1:21" x14ac:dyDescent="0.3">
      <c r="A202" s="2" t="s">
        <v>200</v>
      </c>
      <c r="B202" s="37">
        <v>3872</v>
      </c>
      <c r="C202" s="37">
        <v>4106</v>
      </c>
      <c r="D202" s="37">
        <v>2086</v>
      </c>
      <c r="E202" s="40">
        <v>670</v>
      </c>
      <c r="F202" s="41">
        <v>435</v>
      </c>
      <c r="G202">
        <v>2292</v>
      </c>
      <c r="H202" s="46">
        <v>1510</v>
      </c>
      <c r="I202" s="37">
        <v>1678</v>
      </c>
      <c r="J202" s="42">
        <v>692.37</v>
      </c>
      <c r="K202" s="5">
        <v>735.27</v>
      </c>
      <c r="L202" s="37">
        <v>405700</v>
      </c>
      <c r="M202" s="43">
        <v>209.65</v>
      </c>
      <c r="N202">
        <v>8</v>
      </c>
      <c r="O202" s="36">
        <f>Rådatakommune[[#This Row],[B16-O]]/Rådatakommune[[#This Row],[Landareal2016-O]]</f>
        <v>5.9303551569247652</v>
      </c>
      <c r="P202" s="36">
        <f>Rådatakommune[[#This Row],[B16-O]]/Rådatakommune[[#This Row],[Totalareal2016-O]]</f>
        <v>5.5843431664558603</v>
      </c>
      <c r="Q202" s="38">
        <f>Rådatakommune[[#This Row],[B16-O]]/Rådatakommune[[#This Row],[B06-O]]-1</f>
        <v>6.0433884297520724E-2</v>
      </c>
      <c r="R202" s="24">
        <f>Rådatakommune[[#This Row],[Kvinner20-39-O]]/Rådatakommune[[#This Row],[B16-O]]</f>
        <v>0.10594252313687287</v>
      </c>
      <c r="S202" s="24">
        <f>Rådatakommune[[#This Row],[Eldre67+-O]]/Rådatakommune[[#This Row],[B16-O]]</f>
        <v>0.16317584023380419</v>
      </c>
      <c r="T202" s="24">
        <f>Rådatakommune[[#This Row],[S15-O]]/Rådatakommune[[#This Row],[S05-O]]-1</f>
        <v>0.11125827814569544</v>
      </c>
      <c r="U202" s="24">
        <f>Rådatakommune[[#This Row],[Y15-O]]/Rådatakommune[[#This Row],[Folk20-64-O]]</f>
        <v>0.91012216404886559</v>
      </c>
    </row>
    <row r="203" spans="1:21" x14ac:dyDescent="0.3">
      <c r="A203" s="2" t="s">
        <v>201</v>
      </c>
      <c r="B203" s="37">
        <v>4747</v>
      </c>
      <c r="C203" s="37">
        <v>5593</v>
      </c>
      <c r="D203" s="37">
        <v>2726</v>
      </c>
      <c r="E203" s="40">
        <v>711</v>
      </c>
      <c r="F203" s="41">
        <v>669</v>
      </c>
      <c r="G203">
        <v>3130</v>
      </c>
      <c r="H203" s="46">
        <v>1156</v>
      </c>
      <c r="I203" s="37">
        <v>1503</v>
      </c>
      <c r="J203" s="42">
        <v>224.25</v>
      </c>
      <c r="K203" s="5">
        <v>246.14</v>
      </c>
      <c r="L203" s="37">
        <v>411600</v>
      </c>
      <c r="M203" s="43">
        <v>179.46666666670001</v>
      </c>
      <c r="N203">
        <v>4</v>
      </c>
      <c r="O203" s="36">
        <f>Rådatakommune[[#This Row],[B16-O]]/Rådatakommune[[#This Row],[Landareal2016-O]]</f>
        <v>24.940914158305464</v>
      </c>
      <c r="P203" s="36">
        <f>Rådatakommune[[#This Row],[B16-O]]/Rådatakommune[[#This Row],[Totalareal2016-O]]</f>
        <v>22.722840659787114</v>
      </c>
      <c r="Q203" s="38">
        <f>Rådatakommune[[#This Row],[B16-O]]/Rådatakommune[[#This Row],[B06-O]]-1</f>
        <v>0.17821782178217815</v>
      </c>
      <c r="R203" s="24">
        <f>Rådatakommune[[#This Row],[Kvinner20-39-O]]/Rådatakommune[[#This Row],[B16-O]]</f>
        <v>0.1196138029679957</v>
      </c>
      <c r="S203" s="24">
        <f>Rådatakommune[[#This Row],[Eldre67+-O]]/Rådatakommune[[#This Row],[B16-O]]</f>
        <v>0.12712318970141248</v>
      </c>
      <c r="T203" s="24">
        <f>Rådatakommune[[#This Row],[S15-O]]/Rådatakommune[[#This Row],[S05-O]]-1</f>
        <v>0.30017301038062283</v>
      </c>
      <c r="U203" s="24">
        <f>Rådatakommune[[#This Row],[Y15-O]]/Rådatakommune[[#This Row],[Folk20-64-O]]</f>
        <v>0.87092651757188499</v>
      </c>
    </row>
    <row r="204" spans="1:21" x14ac:dyDescent="0.3">
      <c r="A204" s="2" t="s">
        <v>202</v>
      </c>
      <c r="B204" s="37">
        <v>10808</v>
      </c>
      <c r="C204" s="37">
        <v>11778</v>
      </c>
      <c r="D204" s="37">
        <v>5713</v>
      </c>
      <c r="E204" s="40">
        <v>1634</v>
      </c>
      <c r="F204" s="41">
        <v>1350</v>
      </c>
      <c r="G204">
        <v>6524</v>
      </c>
      <c r="H204" s="46">
        <v>4304</v>
      </c>
      <c r="I204" s="37">
        <v>4677</v>
      </c>
      <c r="J204" s="42">
        <v>235.43</v>
      </c>
      <c r="K204" s="5">
        <v>246.56</v>
      </c>
      <c r="L204" s="37">
        <v>427900</v>
      </c>
      <c r="M204" s="43">
        <v>189.48333333329998</v>
      </c>
      <c r="N204">
        <v>6</v>
      </c>
      <c r="O204" s="36">
        <f>Rådatakommune[[#This Row],[B16-O]]/Rådatakommune[[#This Row],[Landareal2016-O]]</f>
        <v>50.027609055770291</v>
      </c>
      <c r="P204" s="36">
        <f>Rådatakommune[[#This Row],[B16-O]]/Rådatakommune[[#This Row],[Totalareal2016-O]]</f>
        <v>47.769305645684618</v>
      </c>
      <c r="Q204" s="38">
        <f>Rådatakommune[[#This Row],[B16-O]]/Rådatakommune[[#This Row],[B06-O]]-1</f>
        <v>8.9748334566987387E-2</v>
      </c>
      <c r="R204" s="24">
        <f>Rådatakommune[[#This Row],[Kvinner20-39-O]]/Rådatakommune[[#This Row],[B16-O]]</f>
        <v>0.11462047885888946</v>
      </c>
      <c r="S204" s="24">
        <f>Rådatakommune[[#This Row],[Eldre67+-O]]/Rådatakommune[[#This Row],[B16-O]]</f>
        <v>0.13873323144846322</v>
      </c>
      <c r="T204" s="24">
        <f>Rådatakommune[[#This Row],[S15-O]]/Rådatakommune[[#This Row],[S05-O]]-1</f>
        <v>8.6663568773234223E-2</v>
      </c>
      <c r="U204" s="24">
        <f>Rådatakommune[[#This Row],[Y15-O]]/Rådatakommune[[#This Row],[Folk20-64-O]]</f>
        <v>0.87568976088289396</v>
      </c>
    </row>
    <row r="205" spans="1:21" x14ac:dyDescent="0.3">
      <c r="A205" s="2" t="s">
        <v>203</v>
      </c>
      <c r="B205" s="37">
        <v>16682</v>
      </c>
      <c r="C205" s="37">
        <v>18775</v>
      </c>
      <c r="D205" s="37">
        <v>9290</v>
      </c>
      <c r="E205" s="40">
        <v>2436</v>
      </c>
      <c r="F205" s="41">
        <v>2334</v>
      </c>
      <c r="G205">
        <v>10811</v>
      </c>
      <c r="H205" s="46">
        <v>8717</v>
      </c>
      <c r="I205" s="37">
        <v>9636</v>
      </c>
      <c r="J205" s="42">
        <v>137.38999999999999</v>
      </c>
      <c r="K205" s="5">
        <v>143.69999999999999</v>
      </c>
      <c r="L205" s="37">
        <v>424300</v>
      </c>
      <c r="M205" s="43">
        <v>172.3333333333</v>
      </c>
      <c r="N205">
        <v>6</v>
      </c>
      <c r="O205" s="36">
        <f>Rådatakommune[[#This Row],[B16-O]]/Rådatakommune[[#This Row],[Landareal2016-O]]</f>
        <v>136.65477836814907</v>
      </c>
      <c r="P205" s="36">
        <f>Rådatakommune[[#This Row],[B16-O]]/Rådatakommune[[#This Row],[Totalareal2016-O]]</f>
        <v>130.65414057063327</v>
      </c>
      <c r="Q205" s="38">
        <f>Rådatakommune[[#This Row],[B16-O]]/Rådatakommune[[#This Row],[B06-O]]-1</f>
        <v>0.1254645725932142</v>
      </c>
      <c r="R205" s="24">
        <f>Rådatakommune[[#This Row],[Kvinner20-39-O]]/Rådatakommune[[#This Row],[B16-O]]</f>
        <v>0.12431424766977364</v>
      </c>
      <c r="S205" s="24">
        <f>Rådatakommune[[#This Row],[Eldre67+-O]]/Rådatakommune[[#This Row],[B16-O]]</f>
        <v>0.12974700399467376</v>
      </c>
      <c r="T205" s="24">
        <f>Rådatakommune[[#This Row],[S15-O]]/Rådatakommune[[#This Row],[S05-O]]-1</f>
        <v>0.10542617873121496</v>
      </c>
      <c r="U205" s="24">
        <f>Rådatakommune[[#This Row],[Y15-O]]/Rådatakommune[[#This Row],[Folk20-64-O]]</f>
        <v>0.85930996207566368</v>
      </c>
    </row>
    <row r="206" spans="1:21" x14ac:dyDescent="0.3">
      <c r="A206" s="2" t="s">
        <v>204</v>
      </c>
      <c r="B206" s="37">
        <v>2901</v>
      </c>
      <c r="C206" s="37">
        <v>3140</v>
      </c>
      <c r="D206" s="37">
        <v>1567</v>
      </c>
      <c r="E206" s="40">
        <v>411</v>
      </c>
      <c r="F206" s="41">
        <v>346</v>
      </c>
      <c r="G206">
        <v>1783</v>
      </c>
      <c r="H206" s="46">
        <v>1137</v>
      </c>
      <c r="I206" s="37">
        <v>1198</v>
      </c>
      <c r="J206" s="42">
        <v>134.44999999999999</v>
      </c>
      <c r="K206" s="5">
        <v>142.42999999999998</v>
      </c>
      <c r="L206" s="37">
        <v>429000</v>
      </c>
      <c r="M206" s="43">
        <v>176.25</v>
      </c>
      <c r="N206">
        <v>6</v>
      </c>
      <c r="O206" s="36">
        <f>Rådatakommune[[#This Row],[B16-O]]/Rådatakommune[[#This Row],[Landareal2016-O]]</f>
        <v>23.354406842692452</v>
      </c>
      <c r="P206" s="36">
        <f>Rådatakommune[[#This Row],[B16-O]]/Rådatakommune[[#This Row],[Totalareal2016-O]]</f>
        <v>22.045917292705191</v>
      </c>
      <c r="Q206" s="38">
        <f>Rådatakommune[[#This Row],[B16-O]]/Rådatakommune[[#This Row],[B06-O]]-1</f>
        <v>8.2385384350224022E-2</v>
      </c>
      <c r="R206" s="24">
        <f>Rådatakommune[[#This Row],[Kvinner20-39-O]]/Rådatakommune[[#This Row],[B16-O]]</f>
        <v>0.11019108280254777</v>
      </c>
      <c r="S206" s="24">
        <f>Rådatakommune[[#This Row],[Eldre67+-O]]/Rådatakommune[[#This Row],[B16-O]]</f>
        <v>0.13089171974522293</v>
      </c>
      <c r="T206" s="24">
        <f>Rådatakommune[[#This Row],[S15-O]]/Rådatakommune[[#This Row],[S05-O]]-1</f>
        <v>5.3649956024626189E-2</v>
      </c>
      <c r="U206" s="24">
        <f>Rådatakommune[[#This Row],[Y15-O]]/Rådatakommune[[#This Row],[Folk20-64-O]]</f>
        <v>0.87885586090858103</v>
      </c>
    </row>
    <row r="207" spans="1:21" x14ac:dyDescent="0.3">
      <c r="A207" s="2" t="s">
        <v>205</v>
      </c>
      <c r="B207" s="37">
        <v>2795</v>
      </c>
      <c r="C207" s="37">
        <v>2797</v>
      </c>
      <c r="D207" s="37">
        <v>1340</v>
      </c>
      <c r="E207" s="40">
        <v>602</v>
      </c>
      <c r="F207" s="41">
        <v>272</v>
      </c>
      <c r="G207">
        <v>1485</v>
      </c>
      <c r="H207" s="46">
        <v>967</v>
      </c>
      <c r="I207" s="37">
        <v>1118</v>
      </c>
      <c r="J207" s="42">
        <v>245.17</v>
      </c>
      <c r="K207" s="5">
        <v>255.10999999999999</v>
      </c>
      <c r="L207" s="37">
        <v>403700</v>
      </c>
      <c r="M207" s="43">
        <v>204.6666666667</v>
      </c>
      <c r="N207">
        <v>6</v>
      </c>
      <c r="O207" s="36">
        <f>Rådatakommune[[#This Row],[B16-O]]/Rådatakommune[[#This Row],[Landareal2016-O]]</f>
        <v>11.408410490679938</v>
      </c>
      <c r="P207" s="36">
        <f>Rådatakommune[[#This Row],[B16-O]]/Rådatakommune[[#This Row],[Totalareal2016-O]]</f>
        <v>10.963897926384698</v>
      </c>
      <c r="Q207" s="38">
        <f>Rådatakommune[[#This Row],[B16-O]]/Rådatakommune[[#This Row],[B06-O]]-1</f>
        <v>7.1556350626122978E-4</v>
      </c>
      <c r="R207" s="24">
        <f>Rådatakommune[[#This Row],[Kvinner20-39-O]]/Rådatakommune[[#This Row],[B16-O]]</f>
        <v>9.7247050411154806E-2</v>
      </c>
      <c r="S207" s="24">
        <f>Rådatakommune[[#This Row],[Eldre67+-O]]/Rådatakommune[[#This Row],[B16-O]]</f>
        <v>0.21523060421880585</v>
      </c>
      <c r="T207" s="24">
        <f>Rådatakommune[[#This Row],[S15-O]]/Rådatakommune[[#This Row],[S05-O]]-1</f>
        <v>0.15615305067218199</v>
      </c>
      <c r="U207" s="24">
        <f>Rådatakommune[[#This Row],[Y15-O]]/Rådatakommune[[#This Row],[Folk20-64-O]]</f>
        <v>0.90235690235690236</v>
      </c>
    </row>
    <row r="208" spans="1:21" x14ac:dyDescent="0.3">
      <c r="A208" s="2" t="s">
        <v>206</v>
      </c>
      <c r="B208" s="37">
        <v>13071</v>
      </c>
      <c r="C208" s="37">
        <v>13271</v>
      </c>
      <c r="D208" s="37">
        <v>6283</v>
      </c>
      <c r="E208" s="40">
        <v>2368</v>
      </c>
      <c r="F208" s="41">
        <v>1361</v>
      </c>
      <c r="G208">
        <v>7163</v>
      </c>
      <c r="H208" s="46">
        <v>5460</v>
      </c>
      <c r="I208" s="37">
        <v>5536</v>
      </c>
      <c r="J208" s="42">
        <v>1042.8800000000001</v>
      </c>
      <c r="K208" s="5">
        <v>1090.73</v>
      </c>
      <c r="L208" s="37">
        <v>395400</v>
      </c>
      <c r="M208" s="43">
        <v>264.95</v>
      </c>
      <c r="N208">
        <v>8</v>
      </c>
      <c r="O208" s="36">
        <f>Rådatakommune[[#This Row],[B16-O]]/Rådatakommune[[#This Row],[Landareal2016-O]]</f>
        <v>12.725337526848726</v>
      </c>
      <c r="P208" s="36">
        <f>Rådatakommune[[#This Row],[B16-O]]/Rådatakommune[[#This Row],[Totalareal2016-O]]</f>
        <v>12.167080762425165</v>
      </c>
      <c r="Q208" s="38">
        <f>Rådatakommune[[#This Row],[B16-O]]/Rådatakommune[[#This Row],[B06-O]]-1</f>
        <v>1.5301048121796335E-2</v>
      </c>
      <c r="R208" s="24">
        <f>Rådatakommune[[#This Row],[Kvinner20-39-O]]/Rådatakommune[[#This Row],[B16-O]]</f>
        <v>0.1025544420164268</v>
      </c>
      <c r="S208" s="24">
        <f>Rådatakommune[[#This Row],[Eldre67+-O]]/Rådatakommune[[#This Row],[B16-O]]</f>
        <v>0.17843417979052068</v>
      </c>
      <c r="T208" s="24">
        <f>Rådatakommune[[#This Row],[S15-O]]/Rådatakommune[[#This Row],[S05-O]]-1</f>
        <v>1.391941391941387E-2</v>
      </c>
      <c r="U208" s="24">
        <f>Rådatakommune[[#This Row],[Y15-O]]/Rådatakommune[[#This Row],[Folk20-64-O]]</f>
        <v>0.87714644701940525</v>
      </c>
    </row>
    <row r="209" spans="1:21" x14ac:dyDescent="0.3">
      <c r="A209" s="2" t="s">
        <v>207</v>
      </c>
      <c r="B209" s="37">
        <v>1060</v>
      </c>
      <c r="C209" s="37">
        <v>1104</v>
      </c>
      <c r="D209" s="37">
        <v>526</v>
      </c>
      <c r="E209" s="40">
        <v>243</v>
      </c>
      <c r="F209" s="41">
        <v>120</v>
      </c>
      <c r="G209">
        <v>575</v>
      </c>
      <c r="H209" s="46">
        <v>474</v>
      </c>
      <c r="I209" s="37">
        <v>410</v>
      </c>
      <c r="J209" s="42">
        <v>234.72</v>
      </c>
      <c r="K209" s="5">
        <v>247.07</v>
      </c>
      <c r="L209" s="37">
        <v>366500</v>
      </c>
      <c r="M209" s="43">
        <v>247.6666666667</v>
      </c>
      <c r="N209">
        <v>9</v>
      </c>
      <c r="O209" s="36">
        <f>Rådatakommune[[#This Row],[B16-O]]/Rådatakommune[[#This Row],[Landareal2016-O]]</f>
        <v>4.703476482617587</v>
      </c>
      <c r="P209" s="36">
        <f>Rådatakommune[[#This Row],[B16-O]]/Rådatakommune[[#This Row],[Totalareal2016-O]]</f>
        <v>4.4683692880560164</v>
      </c>
      <c r="Q209" s="38">
        <f>Rådatakommune[[#This Row],[B16-O]]/Rådatakommune[[#This Row],[B06-O]]-1</f>
        <v>4.1509433962264142E-2</v>
      </c>
      <c r="R209" s="24">
        <f>Rådatakommune[[#This Row],[Kvinner20-39-O]]/Rådatakommune[[#This Row],[B16-O]]</f>
        <v>0.10869565217391304</v>
      </c>
      <c r="S209" s="24">
        <f>Rådatakommune[[#This Row],[Eldre67+-O]]/Rådatakommune[[#This Row],[B16-O]]</f>
        <v>0.22010869565217392</v>
      </c>
      <c r="T209" s="24">
        <f>Rådatakommune[[#This Row],[S15-O]]/Rådatakommune[[#This Row],[S05-O]]-1</f>
        <v>-0.13502109704641352</v>
      </c>
      <c r="U209" s="24">
        <f>Rådatakommune[[#This Row],[Y15-O]]/Rådatakommune[[#This Row],[Folk20-64-O]]</f>
        <v>0.9147826086956522</v>
      </c>
    </row>
    <row r="210" spans="1:21" x14ac:dyDescent="0.3">
      <c r="A210" s="2" t="s">
        <v>208</v>
      </c>
      <c r="B210" s="37">
        <v>7247</v>
      </c>
      <c r="C210" s="37">
        <v>6930</v>
      </c>
      <c r="D210" s="37">
        <v>3345</v>
      </c>
      <c r="E210" s="40">
        <v>1373</v>
      </c>
      <c r="F210" s="41">
        <v>749</v>
      </c>
      <c r="G210">
        <v>3929</v>
      </c>
      <c r="H210" s="46">
        <v>3594</v>
      </c>
      <c r="I210" s="37">
        <v>3492</v>
      </c>
      <c r="J210" s="42">
        <v>1475.92</v>
      </c>
      <c r="K210" s="5">
        <v>1615.89</v>
      </c>
      <c r="L210" s="37">
        <v>381400</v>
      </c>
      <c r="M210" s="43">
        <v>266.14999999999998</v>
      </c>
      <c r="N210">
        <v>7</v>
      </c>
      <c r="O210" s="36">
        <f>Rådatakommune[[#This Row],[B16-O]]/Rådatakommune[[#This Row],[Landareal2016-O]]</f>
        <v>4.6953764431676515</v>
      </c>
      <c r="P210" s="36">
        <f>Rådatakommune[[#This Row],[B16-O]]/Rådatakommune[[#This Row],[Totalareal2016-O]]</f>
        <v>4.2886582626292631</v>
      </c>
      <c r="Q210" s="38">
        <f>Rådatakommune[[#This Row],[B16-O]]/Rådatakommune[[#This Row],[B06-O]]-1</f>
        <v>-4.3742238167517544E-2</v>
      </c>
      <c r="R210" s="24">
        <f>Rådatakommune[[#This Row],[Kvinner20-39-O]]/Rådatakommune[[#This Row],[B16-O]]</f>
        <v>0.10808080808080808</v>
      </c>
      <c r="S210" s="24">
        <f>Rådatakommune[[#This Row],[Eldre67+-O]]/Rådatakommune[[#This Row],[B16-O]]</f>
        <v>0.19812409812409812</v>
      </c>
      <c r="T210" s="24">
        <f>Rådatakommune[[#This Row],[S15-O]]/Rådatakommune[[#This Row],[S05-O]]-1</f>
        <v>-2.8380634390651083E-2</v>
      </c>
      <c r="U210" s="24">
        <f>Rådatakommune[[#This Row],[Y15-O]]/Rådatakommune[[#This Row],[Folk20-64-O]]</f>
        <v>0.85136166963603965</v>
      </c>
    </row>
    <row r="211" spans="1:21" x14ac:dyDescent="0.3">
      <c r="A211" s="2" t="s">
        <v>209</v>
      </c>
      <c r="B211" s="37">
        <v>3472</v>
      </c>
      <c r="C211" s="37">
        <v>3401</v>
      </c>
      <c r="D211" s="37">
        <v>1700</v>
      </c>
      <c r="E211" s="40">
        <v>700</v>
      </c>
      <c r="F211" s="41">
        <v>352</v>
      </c>
      <c r="G211">
        <v>1803</v>
      </c>
      <c r="H211" s="46">
        <v>1287</v>
      </c>
      <c r="I211" s="37">
        <v>1237</v>
      </c>
      <c r="J211" s="42">
        <v>1284.82</v>
      </c>
      <c r="K211" s="5">
        <v>1398.53</v>
      </c>
      <c r="L211" s="37">
        <v>378300</v>
      </c>
      <c r="M211" s="43">
        <v>265.91666666700002</v>
      </c>
      <c r="N211">
        <v>7</v>
      </c>
      <c r="O211" s="36">
        <f>Rådatakommune[[#This Row],[B16-O]]/Rådatakommune[[#This Row],[Landareal2016-O]]</f>
        <v>2.6470634018773058</v>
      </c>
      <c r="P211" s="36">
        <f>Rådatakommune[[#This Row],[B16-O]]/Rådatakommune[[#This Row],[Totalareal2016-O]]</f>
        <v>2.4318391453883721</v>
      </c>
      <c r="Q211" s="38">
        <f>Rådatakommune[[#This Row],[B16-O]]/Rådatakommune[[#This Row],[B06-O]]-1</f>
        <v>-2.0449308755760343E-2</v>
      </c>
      <c r="R211" s="24">
        <f>Rådatakommune[[#This Row],[Kvinner20-39-O]]/Rådatakommune[[#This Row],[B16-O]]</f>
        <v>0.10349897089091444</v>
      </c>
      <c r="S211" s="24">
        <f>Rådatakommune[[#This Row],[Eldre67+-O]]/Rådatakommune[[#This Row],[B16-O]]</f>
        <v>0.20582181711261394</v>
      </c>
      <c r="T211" s="24">
        <f>Rådatakommune[[#This Row],[S15-O]]/Rådatakommune[[#This Row],[S05-O]]-1</f>
        <v>-3.8850038850038904E-2</v>
      </c>
      <c r="U211" s="24">
        <f>Rådatakommune[[#This Row],[Y15-O]]/Rådatakommune[[#This Row],[Folk20-64-O]]</f>
        <v>0.94287298946200782</v>
      </c>
    </row>
    <row r="212" spans="1:21" x14ac:dyDescent="0.3">
      <c r="A212" s="2" t="s">
        <v>210</v>
      </c>
      <c r="B212" s="37">
        <v>899</v>
      </c>
      <c r="C212" s="37">
        <v>925</v>
      </c>
      <c r="D212" s="37">
        <v>512</v>
      </c>
      <c r="E212" s="40">
        <v>173</v>
      </c>
      <c r="F212" s="41">
        <v>99</v>
      </c>
      <c r="G212">
        <v>543</v>
      </c>
      <c r="H212" s="46">
        <v>383</v>
      </c>
      <c r="I212" s="37">
        <v>405</v>
      </c>
      <c r="J212" s="42">
        <v>1381.89</v>
      </c>
      <c r="K212" s="5">
        <v>1491.46</v>
      </c>
      <c r="L212" s="37">
        <v>415300</v>
      </c>
      <c r="M212" s="43">
        <v>242.81666666699999</v>
      </c>
      <c r="N212">
        <v>9</v>
      </c>
      <c r="O212" s="36">
        <f>Rådatakommune[[#This Row],[B16-O]]/Rådatakommune[[#This Row],[Landareal2016-O]]</f>
        <v>0.66937310495046631</v>
      </c>
      <c r="P212" s="36">
        <f>Rådatakommune[[#This Row],[B16-O]]/Rådatakommune[[#This Row],[Totalareal2016-O]]</f>
        <v>0.62019765867002796</v>
      </c>
      <c r="Q212" s="38">
        <f>Rådatakommune[[#This Row],[B16-O]]/Rådatakommune[[#This Row],[B06-O]]-1</f>
        <v>2.8921023359288034E-2</v>
      </c>
      <c r="R212" s="24">
        <f>Rådatakommune[[#This Row],[Kvinner20-39-O]]/Rådatakommune[[#This Row],[B16-O]]</f>
        <v>0.10702702702702703</v>
      </c>
      <c r="S212" s="24">
        <f>Rådatakommune[[#This Row],[Eldre67+-O]]/Rådatakommune[[#This Row],[B16-O]]</f>
        <v>0.18702702702702703</v>
      </c>
      <c r="T212" s="24">
        <f>Rådatakommune[[#This Row],[S15-O]]/Rådatakommune[[#This Row],[S05-O]]-1</f>
        <v>5.7441253263707637E-2</v>
      </c>
      <c r="U212" s="24">
        <f>Rådatakommune[[#This Row],[Y15-O]]/Rådatakommune[[#This Row],[Folk20-64-O]]</f>
        <v>0.94290976058931864</v>
      </c>
    </row>
    <row r="213" spans="1:21" x14ac:dyDescent="0.3">
      <c r="A213" s="2" t="s">
        <v>211</v>
      </c>
      <c r="B213" s="37">
        <v>1142</v>
      </c>
      <c r="C213" s="37">
        <v>1116</v>
      </c>
      <c r="D213" s="37">
        <v>544</v>
      </c>
      <c r="E213" s="40">
        <v>241</v>
      </c>
      <c r="F213" s="41">
        <v>114</v>
      </c>
      <c r="G213">
        <v>602</v>
      </c>
      <c r="H213" s="46">
        <v>529</v>
      </c>
      <c r="I213" s="37">
        <v>427</v>
      </c>
      <c r="J213" s="42">
        <v>662.24</v>
      </c>
      <c r="K213" s="5">
        <v>720.83</v>
      </c>
      <c r="L213" s="37">
        <v>364200</v>
      </c>
      <c r="M213" s="43">
        <v>267.51666666699998</v>
      </c>
      <c r="N213">
        <v>6</v>
      </c>
      <c r="O213" s="36">
        <f>Rådatakommune[[#This Row],[B16-O]]/Rådatakommune[[#This Row],[Landareal2016-O]]</f>
        <v>1.6851896593380042</v>
      </c>
      <c r="P213" s="36">
        <f>Rådatakommune[[#This Row],[B16-O]]/Rådatakommune[[#This Row],[Totalareal2016-O]]</f>
        <v>1.5482152518624364</v>
      </c>
      <c r="Q213" s="38">
        <f>Rådatakommune[[#This Row],[B16-O]]/Rådatakommune[[#This Row],[B06-O]]-1</f>
        <v>-2.2767075306479811E-2</v>
      </c>
      <c r="R213" s="24">
        <f>Rådatakommune[[#This Row],[Kvinner20-39-O]]/Rådatakommune[[#This Row],[B16-O]]</f>
        <v>0.10215053763440861</v>
      </c>
      <c r="S213" s="24">
        <f>Rådatakommune[[#This Row],[Eldre67+-O]]/Rådatakommune[[#This Row],[B16-O]]</f>
        <v>0.21594982078853048</v>
      </c>
      <c r="T213" s="24">
        <f>Rådatakommune[[#This Row],[S15-O]]/Rådatakommune[[#This Row],[S05-O]]-1</f>
        <v>-0.19281663516068048</v>
      </c>
      <c r="U213" s="24">
        <f>Rådatakommune[[#This Row],[Y15-O]]/Rådatakommune[[#This Row],[Folk20-64-O]]</f>
        <v>0.90365448504983392</v>
      </c>
    </row>
    <row r="214" spans="1:21" x14ac:dyDescent="0.3">
      <c r="A214" s="2" t="s">
        <v>212</v>
      </c>
      <c r="B214" s="37">
        <v>986</v>
      </c>
      <c r="C214" s="37">
        <v>920</v>
      </c>
      <c r="D214" s="37">
        <v>485</v>
      </c>
      <c r="E214" s="40">
        <v>192</v>
      </c>
      <c r="F214" s="41">
        <v>98</v>
      </c>
      <c r="G214">
        <v>513</v>
      </c>
      <c r="H214" s="46">
        <v>372</v>
      </c>
      <c r="I214" s="37">
        <v>327</v>
      </c>
      <c r="J214" s="42">
        <v>205.02</v>
      </c>
      <c r="K214" s="5">
        <v>212.45000000000002</v>
      </c>
      <c r="L214" s="37">
        <v>366200</v>
      </c>
      <c r="M214" s="43">
        <v>255.3</v>
      </c>
      <c r="N214">
        <v>6</v>
      </c>
      <c r="O214" s="36">
        <f>Rådatakommune[[#This Row],[B16-O]]/Rådatakommune[[#This Row],[Landareal2016-O]]</f>
        <v>4.4873670861379376</v>
      </c>
      <c r="P214" s="36">
        <f>Rådatakommune[[#This Row],[B16-O]]/Rådatakommune[[#This Row],[Totalareal2016-O]]</f>
        <v>4.3304306895740172</v>
      </c>
      <c r="Q214" s="38">
        <f>Rådatakommune[[#This Row],[B16-O]]/Rådatakommune[[#This Row],[B06-O]]-1</f>
        <v>-6.6937119675456347E-2</v>
      </c>
      <c r="R214" s="24">
        <f>Rådatakommune[[#This Row],[Kvinner20-39-O]]/Rådatakommune[[#This Row],[B16-O]]</f>
        <v>0.10652173913043478</v>
      </c>
      <c r="S214" s="24">
        <f>Rådatakommune[[#This Row],[Eldre67+-O]]/Rådatakommune[[#This Row],[B16-O]]</f>
        <v>0.20869565217391303</v>
      </c>
      <c r="T214" s="24">
        <f>Rådatakommune[[#This Row],[S15-O]]/Rådatakommune[[#This Row],[S05-O]]-1</f>
        <v>-0.12096774193548387</v>
      </c>
      <c r="U214" s="24">
        <f>Rådatakommune[[#This Row],[Y15-O]]/Rådatakommune[[#This Row],[Folk20-64-O]]</f>
        <v>0.94541910331384016</v>
      </c>
    </row>
    <row r="215" spans="1:21" x14ac:dyDescent="0.3">
      <c r="A215" s="2" t="s">
        <v>213</v>
      </c>
      <c r="B215" s="37">
        <v>13830</v>
      </c>
      <c r="C215" s="37">
        <v>14425</v>
      </c>
      <c r="D215" s="37">
        <v>7316</v>
      </c>
      <c r="E215" s="40">
        <v>2634</v>
      </c>
      <c r="F215" s="41">
        <v>1606</v>
      </c>
      <c r="G215">
        <v>7969</v>
      </c>
      <c r="H215" s="46">
        <v>6331</v>
      </c>
      <c r="I215" s="37">
        <v>6912</v>
      </c>
      <c r="J215" s="42">
        <v>1731.04</v>
      </c>
      <c r="K215" s="5">
        <v>1805.81</v>
      </c>
      <c r="L215" s="37">
        <v>388300</v>
      </c>
      <c r="M215" s="43">
        <v>236.15</v>
      </c>
      <c r="N215">
        <v>6</v>
      </c>
      <c r="O215" s="36">
        <f>Rådatakommune[[#This Row],[B16-O]]/Rådatakommune[[#This Row],[Landareal2016-O]]</f>
        <v>8.3331407708660699</v>
      </c>
      <c r="P215" s="36">
        <f>Rådatakommune[[#This Row],[B16-O]]/Rådatakommune[[#This Row],[Totalareal2016-O]]</f>
        <v>7.9881050608868049</v>
      </c>
      <c r="Q215" s="38">
        <f>Rådatakommune[[#This Row],[B16-O]]/Rådatakommune[[#This Row],[B06-O]]-1</f>
        <v>4.3022415039768669E-2</v>
      </c>
      <c r="R215" s="24">
        <f>Rådatakommune[[#This Row],[Kvinner20-39-O]]/Rådatakommune[[#This Row],[B16-O]]</f>
        <v>0.11133448873483535</v>
      </c>
      <c r="S215" s="24">
        <f>Rådatakommune[[#This Row],[Eldre67+-O]]/Rådatakommune[[#This Row],[B16-O]]</f>
        <v>0.18259965337954939</v>
      </c>
      <c r="T215" s="24">
        <f>Rådatakommune[[#This Row],[S15-O]]/Rådatakommune[[#This Row],[S05-O]]-1</f>
        <v>9.1770652345601E-2</v>
      </c>
      <c r="U215" s="24">
        <f>Rådatakommune[[#This Row],[Y15-O]]/Rådatakommune[[#This Row],[Folk20-64-O]]</f>
        <v>0.91805747270673865</v>
      </c>
    </row>
    <row r="216" spans="1:21" x14ac:dyDescent="0.3">
      <c r="A216" s="2" t="s">
        <v>214</v>
      </c>
      <c r="B216" s="37">
        <v>8306</v>
      </c>
      <c r="C216" s="37">
        <v>8475</v>
      </c>
      <c r="D216" s="37">
        <v>4145</v>
      </c>
      <c r="E216" s="40">
        <v>1577</v>
      </c>
      <c r="F216" s="41">
        <v>898</v>
      </c>
      <c r="G216">
        <v>4617</v>
      </c>
      <c r="H216" s="46">
        <v>3769</v>
      </c>
      <c r="I216" s="37">
        <v>3656</v>
      </c>
      <c r="J216" s="42">
        <v>580.48</v>
      </c>
      <c r="K216" s="5">
        <v>616.49</v>
      </c>
      <c r="L216" s="37">
        <v>386000</v>
      </c>
      <c r="M216" s="43">
        <v>215.61666666669998</v>
      </c>
      <c r="N216">
        <v>5</v>
      </c>
      <c r="O216" s="36">
        <f>Rådatakommune[[#This Row],[B16-O]]/Rådatakommune[[#This Row],[Landareal2016-O]]</f>
        <v>14.599986218302094</v>
      </c>
      <c r="P216" s="36">
        <f>Rådatakommune[[#This Row],[B16-O]]/Rådatakommune[[#This Row],[Totalareal2016-O]]</f>
        <v>13.747181625006082</v>
      </c>
      <c r="Q216" s="38">
        <f>Rådatakommune[[#This Row],[B16-O]]/Rådatakommune[[#This Row],[B06-O]]-1</f>
        <v>2.034673729833858E-2</v>
      </c>
      <c r="R216" s="24">
        <f>Rådatakommune[[#This Row],[Kvinner20-39-O]]/Rådatakommune[[#This Row],[B16-O]]</f>
        <v>0.10595870206489676</v>
      </c>
      <c r="S216" s="24">
        <f>Rådatakommune[[#This Row],[Eldre67+-O]]/Rådatakommune[[#This Row],[B16-O]]</f>
        <v>0.18607669616519174</v>
      </c>
      <c r="T216" s="24">
        <f>Rådatakommune[[#This Row],[S15-O]]/Rådatakommune[[#This Row],[S05-O]]-1</f>
        <v>-2.9981427434332741E-2</v>
      </c>
      <c r="U216" s="24">
        <f>Rådatakommune[[#This Row],[Y15-O]]/Rådatakommune[[#This Row],[Folk20-64-O]]</f>
        <v>0.89776911414338312</v>
      </c>
    </row>
    <row r="217" spans="1:21" x14ac:dyDescent="0.3">
      <c r="A217" s="2" t="s">
        <v>215</v>
      </c>
      <c r="B217" s="37">
        <v>3731</v>
      </c>
      <c r="C217" s="37">
        <v>3876</v>
      </c>
      <c r="D217" s="37">
        <v>1923</v>
      </c>
      <c r="E217" s="40">
        <v>678</v>
      </c>
      <c r="F217" s="41">
        <v>386</v>
      </c>
      <c r="G217">
        <v>2089</v>
      </c>
      <c r="H217" s="46">
        <v>1779</v>
      </c>
      <c r="I217" s="37">
        <v>1958</v>
      </c>
      <c r="J217" s="42">
        <v>353.71</v>
      </c>
      <c r="K217" s="5">
        <v>377.83</v>
      </c>
      <c r="L217" s="37">
        <v>423100</v>
      </c>
      <c r="M217" s="43">
        <v>208.1666666667</v>
      </c>
      <c r="N217">
        <v>1</v>
      </c>
      <c r="O217" s="36">
        <f>Rådatakommune[[#This Row],[B16-O]]/Rådatakommune[[#This Row],[Landareal2016-O]]</f>
        <v>10.95812954114953</v>
      </c>
      <c r="P217" s="36">
        <f>Rådatakommune[[#This Row],[B16-O]]/Rådatakommune[[#This Row],[Totalareal2016-O]]</f>
        <v>10.25858190191356</v>
      </c>
      <c r="Q217" s="38">
        <f>Rådatakommune[[#This Row],[B16-O]]/Rådatakommune[[#This Row],[B06-O]]-1</f>
        <v>3.8863575448941257E-2</v>
      </c>
      <c r="R217" s="24">
        <f>Rådatakommune[[#This Row],[Kvinner20-39-O]]/Rådatakommune[[#This Row],[B16-O]]</f>
        <v>9.9587203302373584E-2</v>
      </c>
      <c r="S217" s="24">
        <f>Rådatakommune[[#This Row],[Eldre67+-O]]/Rådatakommune[[#This Row],[B16-O]]</f>
        <v>0.17492260061919504</v>
      </c>
      <c r="T217" s="24">
        <f>Rådatakommune[[#This Row],[S15-O]]/Rådatakommune[[#This Row],[S05-O]]-1</f>
        <v>0.10061832490163014</v>
      </c>
      <c r="U217" s="24">
        <f>Rådatakommune[[#This Row],[Y15-O]]/Rådatakommune[[#This Row],[Folk20-64-O]]</f>
        <v>0.92053614169459075</v>
      </c>
    </row>
    <row r="218" spans="1:21" x14ac:dyDescent="0.3">
      <c r="A218" s="2" t="s">
        <v>216</v>
      </c>
      <c r="B218" s="37">
        <v>2341</v>
      </c>
      <c r="C218" s="37">
        <v>2443</v>
      </c>
      <c r="D218" s="37">
        <v>1184</v>
      </c>
      <c r="E218" s="40">
        <v>407</v>
      </c>
      <c r="F218" s="41">
        <v>278</v>
      </c>
      <c r="G218">
        <v>1375</v>
      </c>
      <c r="H218" s="46">
        <v>549</v>
      </c>
      <c r="I218" s="37">
        <v>573</v>
      </c>
      <c r="J218" s="42">
        <v>257.47000000000003</v>
      </c>
      <c r="K218" s="5">
        <v>269.07000000000005</v>
      </c>
      <c r="L218" s="37">
        <v>407100</v>
      </c>
      <c r="M218" s="43">
        <v>195.26666666669999</v>
      </c>
      <c r="N218">
        <v>1</v>
      </c>
      <c r="O218" s="36">
        <f>Rådatakommune[[#This Row],[B16-O]]/Rådatakommune[[#This Row],[Landareal2016-O]]</f>
        <v>9.4884840952343961</v>
      </c>
      <c r="P218" s="36">
        <f>Rådatakommune[[#This Row],[B16-O]]/Rådatakommune[[#This Row],[Totalareal2016-O]]</f>
        <v>9.0794217118222011</v>
      </c>
      <c r="Q218" s="38">
        <f>Rådatakommune[[#This Row],[B16-O]]/Rådatakommune[[#This Row],[B06-O]]-1</f>
        <v>4.3571123451516369E-2</v>
      </c>
      <c r="R218" s="24">
        <f>Rådatakommune[[#This Row],[Kvinner20-39-O]]/Rådatakommune[[#This Row],[B16-O]]</f>
        <v>0.11379451494064674</v>
      </c>
      <c r="S218" s="24">
        <f>Rådatakommune[[#This Row],[Eldre67+-O]]/Rådatakommune[[#This Row],[B16-O]]</f>
        <v>0.16659844453540729</v>
      </c>
      <c r="T218" s="24">
        <f>Rådatakommune[[#This Row],[S15-O]]/Rådatakommune[[#This Row],[S05-O]]-1</f>
        <v>4.3715846994535568E-2</v>
      </c>
      <c r="U218" s="24">
        <f>Rådatakommune[[#This Row],[Y15-O]]/Rådatakommune[[#This Row],[Folk20-64-O]]</f>
        <v>0.86109090909090913</v>
      </c>
    </row>
    <row r="219" spans="1:21" x14ac:dyDescent="0.3">
      <c r="A219" s="2" t="s">
        <v>217</v>
      </c>
      <c r="B219" s="37">
        <v>15260</v>
      </c>
      <c r="C219" s="37">
        <v>19742</v>
      </c>
      <c r="D219" s="37">
        <v>9860</v>
      </c>
      <c r="E219" s="40">
        <v>2382</v>
      </c>
      <c r="F219" s="41">
        <v>2612</v>
      </c>
      <c r="G219">
        <v>11368</v>
      </c>
      <c r="H219" s="46">
        <v>5040</v>
      </c>
      <c r="I219" s="37">
        <v>5722</v>
      </c>
      <c r="J219" s="42">
        <v>133.47999999999999</v>
      </c>
      <c r="K219" s="5">
        <v>139.57</v>
      </c>
      <c r="L219" s="37">
        <v>434100</v>
      </c>
      <c r="M219" s="43">
        <v>162.1</v>
      </c>
      <c r="N219">
        <v>1</v>
      </c>
      <c r="O219" s="36">
        <f>Rådatakommune[[#This Row],[B16-O]]/Rådatakommune[[#This Row],[Landareal2016-O]]</f>
        <v>147.90230746179205</v>
      </c>
      <c r="P219" s="36">
        <f>Rådatakommune[[#This Row],[B16-O]]/Rådatakommune[[#This Row],[Totalareal2016-O]]</f>
        <v>141.4487354015906</v>
      </c>
      <c r="Q219" s="38">
        <f>Rådatakommune[[#This Row],[B16-O]]/Rådatakommune[[#This Row],[B06-O]]-1</f>
        <v>0.29370904325032776</v>
      </c>
      <c r="R219" s="24">
        <f>Rådatakommune[[#This Row],[Kvinner20-39-O]]/Rådatakommune[[#This Row],[B16-O]]</f>
        <v>0.13230675716746024</v>
      </c>
      <c r="S219" s="24">
        <f>Rådatakommune[[#This Row],[Eldre67+-O]]/Rådatakommune[[#This Row],[B16-O]]</f>
        <v>0.12065646844291358</v>
      </c>
      <c r="T219" s="24">
        <f>Rådatakommune[[#This Row],[S15-O]]/Rådatakommune[[#This Row],[S05-O]]-1</f>
        <v>0.13531746031746028</v>
      </c>
      <c r="U219" s="24">
        <f>Rådatakommune[[#This Row],[Y15-O]]/Rådatakommune[[#This Row],[Folk20-64-O]]</f>
        <v>0.86734693877551017</v>
      </c>
    </row>
    <row r="220" spans="1:21" x14ac:dyDescent="0.3">
      <c r="A220" s="2" t="s">
        <v>218</v>
      </c>
      <c r="B220" s="37">
        <v>4391</v>
      </c>
      <c r="C220" s="37">
        <v>5118</v>
      </c>
      <c r="D220" s="37">
        <v>2612</v>
      </c>
      <c r="E220" s="40">
        <v>703</v>
      </c>
      <c r="F220" s="41">
        <v>653</v>
      </c>
      <c r="G220">
        <v>2867</v>
      </c>
      <c r="H220" s="46">
        <v>2062</v>
      </c>
      <c r="I220" s="37">
        <v>2780</v>
      </c>
      <c r="J220" s="42">
        <v>114.23</v>
      </c>
      <c r="K220" s="5">
        <v>117.18</v>
      </c>
      <c r="L220" s="37">
        <v>505200</v>
      </c>
      <c r="M220" s="43">
        <v>220.96666666670001</v>
      </c>
      <c r="N220">
        <v>5</v>
      </c>
      <c r="O220" s="36">
        <f>Rådatakommune[[#This Row],[B16-O]]/Rådatakommune[[#This Row],[Landareal2016-O]]</f>
        <v>44.804342116781932</v>
      </c>
      <c r="P220" s="36">
        <f>Rådatakommune[[#This Row],[B16-O]]/Rådatakommune[[#This Row],[Totalareal2016-O]]</f>
        <v>43.676395289298512</v>
      </c>
      <c r="Q220" s="38">
        <f>Rådatakommune[[#This Row],[B16-O]]/Rådatakommune[[#This Row],[B06-O]]-1</f>
        <v>0.16556593031200184</v>
      </c>
      <c r="R220" s="24">
        <f>Rådatakommune[[#This Row],[Kvinner20-39-O]]/Rådatakommune[[#This Row],[B16-O]]</f>
        <v>0.12758890191481048</v>
      </c>
      <c r="S220" s="24">
        <f>Rådatakommune[[#This Row],[Eldre67+-O]]/Rådatakommune[[#This Row],[B16-O]]</f>
        <v>0.13735834310277453</v>
      </c>
      <c r="T220" s="24">
        <f>Rådatakommune[[#This Row],[S15-O]]/Rådatakommune[[#This Row],[S05-O]]-1</f>
        <v>0.3482056256062076</v>
      </c>
      <c r="U220" s="24">
        <f>Rådatakommune[[#This Row],[Y15-O]]/Rådatakommune[[#This Row],[Folk20-64-O]]</f>
        <v>0.91105685385420299</v>
      </c>
    </row>
    <row r="221" spans="1:21" x14ac:dyDescent="0.3">
      <c r="A221" s="2" t="s">
        <v>219</v>
      </c>
      <c r="B221" s="37">
        <v>5584</v>
      </c>
      <c r="C221" s="37">
        <v>6975</v>
      </c>
      <c r="D221" s="37">
        <v>3329</v>
      </c>
      <c r="E221" s="40">
        <v>834</v>
      </c>
      <c r="F221" s="41">
        <v>904</v>
      </c>
      <c r="G221">
        <v>4006</v>
      </c>
      <c r="H221" s="46">
        <v>1500</v>
      </c>
      <c r="I221" s="37">
        <v>1725</v>
      </c>
      <c r="J221" s="42">
        <v>94.68</v>
      </c>
      <c r="K221" s="5">
        <v>99.54</v>
      </c>
      <c r="L221" s="37">
        <v>420700</v>
      </c>
      <c r="M221" s="43">
        <v>185.36666666669998</v>
      </c>
      <c r="N221">
        <v>1</v>
      </c>
      <c r="O221" s="36">
        <f>Rådatakommune[[#This Row],[B16-O]]/Rådatakommune[[#This Row],[Landareal2016-O]]</f>
        <v>73.669201520912537</v>
      </c>
      <c r="P221" s="36">
        <f>Rådatakommune[[#This Row],[B16-O]]/Rådatakommune[[#This Row],[Totalareal2016-O]]</f>
        <v>70.072332730560575</v>
      </c>
      <c r="Q221" s="38">
        <f>Rådatakommune[[#This Row],[B16-O]]/Rådatakommune[[#This Row],[B06-O]]-1</f>
        <v>0.24910458452722062</v>
      </c>
      <c r="R221" s="24">
        <f>Rådatakommune[[#This Row],[Kvinner20-39-O]]/Rådatakommune[[#This Row],[B16-O]]</f>
        <v>0.12960573476702508</v>
      </c>
      <c r="S221" s="24">
        <f>Rådatakommune[[#This Row],[Eldre67+-O]]/Rådatakommune[[#This Row],[B16-O]]</f>
        <v>0.11956989247311828</v>
      </c>
      <c r="T221" s="24">
        <f>Rådatakommune[[#This Row],[S15-O]]/Rådatakommune[[#This Row],[S05-O]]-1</f>
        <v>0.14999999999999991</v>
      </c>
      <c r="U221" s="24">
        <f>Rådatakommune[[#This Row],[Y15-O]]/Rådatakommune[[#This Row],[Folk20-64-O]]</f>
        <v>0.83100349475786317</v>
      </c>
    </row>
    <row r="222" spans="1:21" x14ac:dyDescent="0.3">
      <c r="A222" s="2" t="s">
        <v>220</v>
      </c>
      <c r="B222" s="37">
        <v>20392</v>
      </c>
      <c r="C222" s="37">
        <v>24870</v>
      </c>
      <c r="D222" s="37">
        <v>12549</v>
      </c>
      <c r="E222" s="40">
        <v>2541</v>
      </c>
      <c r="F222" s="41">
        <v>3221</v>
      </c>
      <c r="G222">
        <v>14672</v>
      </c>
      <c r="H222" s="46">
        <v>7884</v>
      </c>
      <c r="I222" s="37">
        <v>11619</v>
      </c>
      <c r="J222" s="42">
        <v>141.19999999999999</v>
      </c>
      <c r="K222" s="5">
        <v>148.16999999999999</v>
      </c>
      <c r="L222" s="37">
        <v>447700</v>
      </c>
      <c r="M222" s="43">
        <v>170.01666666670002</v>
      </c>
      <c r="N222">
        <v>1</v>
      </c>
      <c r="O222" s="36">
        <f>Rådatakommune[[#This Row],[B16-O]]/Rådatakommune[[#This Row],[Landareal2016-O]]</f>
        <v>176.13314447592069</v>
      </c>
      <c r="P222" s="36">
        <f>Rådatakommune[[#This Row],[B16-O]]/Rådatakommune[[#This Row],[Totalareal2016-O]]</f>
        <v>167.84774245798747</v>
      </c>
      <c r="Q222" s="38">
        <f>Rådatakommune[[#This Row],[B16-O]]/Rådatakommune[[#This Row],[B06-O]]-1</f>
        <v>0.21959591996861505</v>
      </c>
      <c r="R222" s="24">
        <f>Rådatakommune[[#This Row],[Kvinner20-39-O]]/Rådatakommune[[#This Row],[B16-O]]</f>
        <v>0.12951347004423</v>
      </c>
      <c r="S222" s="24">
        <f>Rådatakommune[[#This Row],[Eldre67+-O]]/Rådatakommune[[#This Row],[B16-O]]</f>
        <v>0.10217129071170085</v>
      </c>
      <c r="T222" s="24">
        <f>Rådatakommune[[#This Row],[S15-O]]/Rådatakommune[[#This Row],[S05-O]]-1</f>
        <v>0.47374429223744285</v>
      </c>
      <c r="U222" s="24">
        <f>Rådatakommune[[#This Row],[Y15-O]]/Rådatakommune[[#This Row],[Folk20-64-O]]</f>
        <v>0.85530261723009815</v>
      </c>
    </row>
    <row r="223" spans="1:21" x14ac:dyDescent="0.3">
      <c r="A223" s="2" t="s">
        <v>221</v>
      </c>
      <c r="B223" s="37">
        <v>22496</v>
      </c>
      <c r="C223" s="37">
        <v>28380</v>
      </c>
      <c r="D223" s="37">
        <v>13886</v>
      </c>
      <c r="E223" s="40">
        <v>3225</v>
      </c>
      <c r="F223" s="41">
        <v>3712</v>
      </c>
      <c r="G223">
        <v>16160</v>
      </c>
      <c r="H223" s="46">
        <v>5969</v>
      </c>
      <c r="I223" s="37">
        <v>7594</v>
      </c>
      <c r="J223" s="42">
        <v>94.4</v>
      </c>
      <c r="K223" s="5">
        <v>101.12</v>
      </c>
      <c r="L223" s="37">
        <v>426600</v>
      </c>
      <c r="M223" s="43">
        <v>168.5833333333</v>
      </c>
      <c r="N223">
        <v>1</v>
      </c>
      <c r="O223" s="36">
        <f>Rådatakommune[[#This Row],[B16-O]]/Rådatakommune[[#This Row],[Landareal2016-O]]</f>
        <v>300.63559322033899</v>
      </c>
      <c r="P223" s="36">
        <f>Rådatakommune[[#This Row],[B16-O]]/Rådatakommune[[#This Row],[Totalareal2016-O]]</f>
        <v>280.65664556962025</v>
      </c>
      <c r="Q223" s="38">
        <f>Rådatakommune[[#This Row],[B16-O]]/Rådatakommune[[#This Row],[B06-O]]-1</f>
        <v>0.26155761024182067</v>
      </c>
      <c r="R223" s="24">
        <f>Rådatakommune[[#This Row],[Kvinner20-39-O]]/Rådatakommune[[#This Row],[B16-O]]</f>
        <v>0.13079633544749825</v>
      </c>
      <c r="S223" s="24">
        <f>Rådatakommune[[#This Row],[Eldre67+-O]]/Rådatakommune[[#This Row],[B16-O]]</f>
        <v>0.11363636363636363</v>
      </c>
      <c r="T223" s="24">
        <f>Rådatakommune[[#This Row],[S15-O]]/Rådatakommune[[#This Row],[S05-O]]-1</f>
        <v>0.27223990618194005</v>
      </c>
      <c r="U223" s="24">
        <f>Rådatakommune[[#This Row],[Y15-O]]/Rådatakommune[[#This Row],[Folk20-64-O]]</f>
        <v>0.85928217821782182</v>
      </c>
    </row>
    <row r="224" spans="1:21" x14ac:dyDescent="0.3">
      <c r="A224" s="2" t="s">
        <v>222</v>
      </c>
      <c r="B224" s="37">
        <v>4118</v>
      </c>
      <c r="C224" s="37">
        <v>4125</v>
      </c>
      <c r="D224" s="37">
        <v>1872</v>
      </c>
      <c r="E224" s="40">
        <v>798</v>
      </c>
      <c r="F224" s="41">
        <v>468</v>
      </c>
      <c r="G224">
        <v>2263</v>
      </c>
      <c r="H224" s="46">
        <v>1548</v>
      </c>
      <c r="I224" s="37">
        <v>1260</v>
      </c>
      <c r="J224" s="42">
        <v>683.42</v>
      </c>
      <c r="K224" s="5">
        <v>715.33999999999992</v>
      </c>
      <c r="L224" s="37">
        <v>362600</v>
      </c>
      <c r="M224" s="43">
        <v>205.1</v>
      </c>
      <c r="N224">
        <v>1</v>
      </c>
      <c r="O224" s="36">
        <f>Rådatakommune[[#This Row],[B16-O]]/Rådatakommune[[#This Row],[Landareal2016-O]]</f>
        <v>6.0358198472388871</v>
      </c>
      <c r="P224" s="36">
        <f>Rådatakommune[[#This Row],[B16-O]]/Rådatakommune[[#This Row],[Totalareal2016-O]]</f>
        <v>5.7664886627338054</v>
      </c>
      <c r="Q224" s="38">
        <f>Rådatakommune[[#This Row],[B16-O]]/Rådatakommune[[#This Row],[B06-O]]-1</f>
        <v>1.699854298202963E-3</v>
      </c>
      <c r="R224" s="24">
        <f>Rådatakommune[[#This Row],[Kvinner20-39-O]]/Rådatakommune[[#This Row],[B16-O]]</f>
        <v>0.11345454545454546</v>
      </c>
      <c r="S224" s="24">
        <f>Rådatakommune[[#This Row],[Eldre67+-O]]/Rådatakommune[[#This Row],[B16-O]]</f>
        <v>0.19345454545454546</v>
      </c>
      <c r="T224" s="24">
        <f>Rådatakommune[[#This Row],[S15-O]]/Rådatakommune[[#This Row],[S05-O]]-1</f>
        <v>-0.18604651162790697</v>
      </c>
      <c r="U224" s="24">
        <f>Rådatakommune[[#This Row],[Y15-O]]/Rådatakommune[[#This Row],[Folk20-64-O]]</f>
        <v>0.82722050375607603</v>
      </c>
    </row>
    <row r="225" spans="1:21" x14ac:dyDescent="0.3">
      <c r="A225" s="2" t="s">
        <v>223</v>
      </c>
      <c r="B225" s="37">
        <v>354</v>
      </c>
      <c r="C225" s="37">
        <v>381</v>
      </c>
      <c r="D225" s="37">
        <v>183</v>
      </c>
      <c r="E225" s="40">
        <v>57</v>
      </c>
      <c r="F225" s="41">
        <v>39</v>
      </c>
      <c r="G225">
        <v>212</v>
      </c>
      <c r="H225" s="46">
        <v>226</v>
      </c>
      <c r="I225" s="37">
        <v>224</v>
      </c>
      <c r="J225" s="42">
        <v>380.71</v>
      </c>
      <c r="K225" s="5">
        <v>411.99</v>
      </c>
      <c r="L225" s="37">
        <v>401900</v>
      </c>
      <c r="M225" s="43">
        <v>229.6666666667</v>
      </c>
      <c r="N225">
        <v>5</v>
      </c>
      <c r="O225" s="36">
        <f>Rådatakommune[[#This Row],[B16-O]]/Rådatakommune[[#This Row],[Landareal2016-O]]</f>
        <v>1.0007617346536735</v>
      </c>
      <c r="P225" s="36">
        <f>Rådatakommune[[#This Row],[B16-O]]/Rådatakommune[[#This Row],[Totalareal2016-O]]</f>
        <v>0.92477972766329275</v>
      </c>
      <c r="Q225" s="38">
        <f>Rådatakommune[[#This Row],[B16-O]]/Rådatakommune[[#This Row],[B06-O]]-1</f>
        <v>7.6271186440677985E-2</v>
      </c>
      <c r="R225" s="24">
        <f>Rådatakommune[[#This Row],[Kvinner20-39-O]]/Rådatakommune[[#This Row],[B16-O]]</f>
        <v>0.10236220472440945</v>
      </c>
      <c r="S225" s="24">
        <f>Rådatakommune[[#This Row],[Eldre67+-O]]/Rådatakommune[[#This Row],[B16-O]]</f>
        <v>0.14960629921259844</v>
      </c>
      <c r="T225" s="24">
        <f>Rådatakommune[[#This Row],[S15-O]]/Rådatakommune[[#This Row],[S05-O]]-1</f>
        <v>-8.8495575221239076E-3</v>
      </c>
      <c r="U225" s="24">
        <f>Rådatakommune[[#This Row],[Y15-O]]/Rådatakommune[[#This Row],[Folk20-64-O]]</f>
        <v>0.8632075471698113</v>
      </c>
    </row>
    <row r="226" spans="1:21" x14ac:dyDescent="0.3">
      <c r="A226" s="2" t="s">
        <v>224</v>
      </c>
      <c r="B226" s="37">
        <v>7224</v>
      </c>
      <c r="C226" s="37">
        <v>7957</v>
      </c>
      <c r="D226" s="37">
        <v>3956</v>
      </c>
      <c r="E226" s="40">
        <v>1200</v>
      </c>
      <c r="F226" s="41">
        <v>935</v>
      </c>
      <c r="G226">
        <v>4465</v>
      </c>
      <c r="H226" s="46">
        <v>2403</v>
      </c>
      <c r="I226" s="37">
        <v>2685</v>
      </c>
      <c r="J226" s="42">
        <v>243.69</v>
      </c>
      <c r="K226" s="5">
        <v>255.12</v>
      </c>
      <c r="L226" s="37">
        <v>389400</v>
      </c>
      <c r="M226" s="43">
        <v>189.5</v>
      </c>
      <c r="N226">
        <v>1</v>
      </c>
      <c r="O226" s="36">
        <f>Rådatakommune[[#This Row],[B16-O]]/Rådatakommune[[#This Row],[Landareal2016-O]]</f>
        <v>32.652140013952156</v>
      </c>
      <c r="P226" s="36">
        <f>Rådatakommune[[#This Row],[B16-O]]/Rådatakommune[[#This Row],[Totalareal2016-O]]</f>
        <v>31.189244277202885</v>
      </c>
      <c r="Q226" s="38">
        <f>Rådatakommune[[#This Row],[B16-O]]/Rådatakommune[[#This Row],[B06-O]]-1</f>
        <v>0.10146733111849393</v>
      </c>
      <c r="R226" s="24">
        <f>Rådatakommune[[#This Row],[Kvinner20-39-O]]/Rådatakommune[[#This Row],[B16-O]]</f>
        <v>0.11750659796405681</v>
      </c>
      <c r="S226" s="24">
        <f>Rådatakommune[[#This Row],[Eldre67+-O]]/Rådatakommune[[#This Row],[B16-O]]</f>
        <v>0.15081060701269322</v>
      </c>
      <c r="T226" s="24">
        <f>Rådatakommune[[#This Row],[S15-O]]/Rådatakommune[[#This Row],[S05-O]]-1</f>
        <v>0.11735330836454438</v>
      </c>
      <c r="U226" s="24">
        <f>Rådatakommune[[#This Row],[Y15-O]]/Rådatakommune[[#This Row],[Folk20-64-O]]</f>
        <v>0.88600223964165736</v>
      </c>
    </row>
    <row r="227" spans="1:21" x14ac:dyDescent="0.3">
      <c r="A227" s="2" t="s">
        <v>225</v>
      </c>
      <c r="B227" s="37">
        <v>5931</v>
      </c>
      <c r="C227" s="37">
        <v>7812</v>
      </c>
      <c r="D227" s="37">
        <v>3862</v>
      </c>
      <c r="E227" s="40">
        <v>826</v>
      </c>
      <c r="F227" s="41">
        <v>1034</v>
      </c>
      <c r="G227">
        <v>4483</v>
      </c>
      <c r="H227" s="46">
        <v>1740</v>
      </c>
      <c r="I227" s="37">
        <v>2144</v>
      </c>
      <c r="J227" s="42">
        <v>87.53</v>
      </c>
      <c r="K227" s="5">
        <v>92.58</v>
      </c>
      <c r="L227" s="37">
        <v>419500</v>
      </c>
      <c r="M227" s="43">
        <v>187.88333333330002</v>
      </c>
      <c r="N227">
        <v>1</v>
      </c>
      <c r="O227" s="36">
        <f>Rådatakommune[[#This Row],[B16-O]]/Rådatakommune[[#This Row],[Landareal2016-O]]</f>
        <v>89.249400205643781</v>
      </c>
      <c r="P227" s="36">
        <f>Rådatakommune[[#This Row],[B16-O]]/Rådatakommune[[#This Row],[Totalareal2016-O]]</f>
        <v>84.381075826312383</v>
      </c>
      <c r="Q227" s="38">
        <f>Rådatakommune[[#This Row],[B16-O]]/Rådatakommune[[#This Row],[B06-O]]-1</f>
        <v>0.31714719271623681</v>
      </c>
      <c r="R227" s="24">
        <f>Rådatakommune[[#This Row],[Kvinner20-39-O]]/Rådatakommune[[#This Row],[B16-O]]</f>
        <v>0.13236047107014848</v>
      </c>
      <c r="S227" s="24">
        <f>Rådatakommune[[#This Row],[Eldre67+-O]]/Rådatakommune[[#This Row],[B16-O]]</f>
        <v>0.1057347670250896</v>
      </c>
      <c r="T227" s="24">
        <f>Rådatakommune[[#This Row],[S15-O]]/Rådatakommune[[#This Row],[S05-O]]-1</f>
        <v>0.23218390804597711</v>
      </c>
      <c r="U227" s="24">
        <f>Rådatakommune[[#This Row],[Y15-O]]/Rådatakommune[[#This Row],[Folk20-64-O]]</f>
        <v>0.86147668971670754</v>
      </c>
    </row>
    <row r="228" spans="1:21" x14ac:dyDescent="0.3">
      <c r="A228" s="2" t="s">
        <v>226</v>
      </c>
      <c r="B228" s="37">
        <v>4077</v>
      </c>
      <c r="C228" s="37">
        <v>4852</v>
      </c>
      <c r="D228" s="37">
        <v>2195</v>
      </c>
      <c r="E228" s="40">
        <v>637</v>
      </c>
      <c r="F228" s="41">
        <v>591</v>
      </c>
      <c r="G228">
        <v>2753</v>
      </c>
      <c r="H228" s="46">
        <v>1203</v>
      </c>
      <c r="I228" s="37">
        <v>1481</v>
      </c>
      <c r="J228" s="42">
        <v>64.44</v>
      </c>
      <c r="K228" s="5">
        <v>66.8</v>
      </c>
      <c r="L228" s="37">
        <v>416300</v>
      </c>
      <c r="M228" s="43">
        <v>201.9333333333</v>
      </c>
      <c r="N228">
        <v>1</v>
      </c>
      <c r="O228" s="36">
        <f>Rådatakommune[[#This Row],[B16-O]]/Rådatakommune[[#This Row],[Landareal2016-O]]</f>
        <v>75.294847920546246</v>
      </c>
      <c r="P228" s="36">
        <f>Rådatakommune[[#This Row],[B16-O]]/Rådatakommune[[#This Row],[Totalareal2016-O]]</f>
        <v>72.634730538922156</v>
      </c>
      <c r="Q228" s="38">
        <f>Rådatakommune[[#This Row],[B16-O]]/Rådatakommune[[#This Row],[B06-O]]-1</f>
        <v>0.19009075300466027</v>
      </c>
      <c r="R228" s="24">
        <f>Rådatakommune[[#This Row],[Kvinner20-39-O]]/Rådatakommune[[#This Row],[B16-O]]</f>
        <v>0.12180544105523496</v>
      </c>
      <c r="S228" s="24">
        <f>Rådatakommune[[#This Row],[Eldre67+-O]]/Rådatakommune[[#This Row],[B16-O]]</f>
        <v>0.13128606760098929</v>
      </c>
      <c r="T228" s="24">
        <f>Rådatakommune[[#This Row],[S15-O]]/Rådatakommune[[#This Row],[S05-O]]-1</f>
        <v>0.23108894430590188</v>
      </c>
      <c r="U228" s="24">
        <f>Rådatakommune[[#This Row],[Y15-O]]/Rådatakommune[[#This Row],[Folk20-64-O]]</f>
        <v>0.7973120232473665</v>
      </c>
    </row>
    <row r="229" spans="1:21" x14ac:dyDescent="0.3">
      <c r="A229" s="2" t="s">
        <v>227</v>
      </c>
      <c r="B229" s="37">
        <v>4635</v>
      </c>
      <c r="C229" s="37">
        <v>5077</v>
      </c>
      <c r="D229" s="37">
        <v>2472</v>
      </c>
      <c r="E229" s="40">
        <v>785</v>
      </c>
      <c r="F229" s="41">
        <v>564</v>
      </c>
      <c r="G229">
        <v>2879</v>
      </c>
      <c r="H229" s="46">
        <v>1503</v>
      </c>
      <c r="I229" s="37">
        <v>1526</v>
      </c>
      <c r="J229" s="42">
        <v>106.8</v>
      </c>
      <c r="K229" s="5">
        <v>111.44</v>
      </c>
      <c r="L229" s="37">
        <v>391500</v>
      </c>
      <c r="M229" s="43">
        <v>208.38333333330002</v>
      </c>
      <c r="N229">
        <v>1</v>
      </c>
      <c r="O229" s="36">
        <f>Rådatakommune[[#This Row],[B16-O]]/Rådatakommune[[#This Row],[Landareal2016-O]]</f>
        <v>47.537453183520597</v>
      </c>
      <c r="P229" s="36">
        <f>Rådatakommune[[#This Row],[B16-O]]/Rådatakommune[[#This Row],[Totalareal2016-O]]</f>
        <v>45.558147882268486</v>
      </c>
      <c r="Q229" s="38">
        <f>Rådatakommune[[#This Row],[B16-O]]/Rådatakommune[[#This Row],[B06-O]]-1</f>
        <v>9.5361380798274054E-2</v>
      </c>
      <c r="R229" s="24">
        <f>Rådatakommune[[#This Row],[Kvinner20-39-O]]/Rådatakommune[[#This Row],[B16-O]]</f>
        <v>0.11108922592081938</v>
      </c>
      <c r="S229" s="24">
        <f>Rådatakommune[[#This Row],[Eldre67+-O]]/Rådatakommune[[#This Row],[B16-O]]</f>
        <v>0.15461886941106953</v>
      </c>
      <c r="T229" s="24">
        <f>Rådatakommune[[#This Row],[S15-O]]/Rådatakommune[[#This Row],[S05-O]]-1</f>
        <v>1.5302727877578137E-2</v>
      </c>
      <c r="U229" s="24">
        <f>Rådatakommune[[#This Row],[Y15-O]]/Rådatakommune[[#This Row],[Folk20-64-O]]</f>
        <v>0.85863146926015976</v>
      </c>
    </row>
    <row r="230" spans="1:21" x14ac:dyDescent="0.3">
      <c r="A230" s="2" t="s">
        <v>228</v>
      </c>
      <c r="B230" s="37">
        <v>13285</v>
      </c>
      <c r="C230" s="37">
        <v>15607</v>
      </c>
      <c r="D230" s="37">
        <v>7499</v>
      </c>
      <c r="E230" s="40">
        <v>2206</v>
      </c>
      <c r="F230" s="41">
        <v>1890</v>
      </c>
      <c r="G230">
        <v>8757</v>
      </c>
      <c r="H230" s="46">
        <v>5752</v>
      </c>
      <c r="I230" s="37">
        <v>6648</v>
      </c>
      <c r="J230" s="42">
        <v>456.32</v>
      </c>
      <c r="K230" s="5">
        <v>474.99</v>
      </c>
      <c r="L230" s="37">
        <v>433300</v>
      </c>
      <c r="M230" s="43">
        <v>188.7</v>
      </c>
      <c r="N230">
        <v>1</v>
      </c>
      <c r="O230" s="36">
        <f>Rådatakommune[[#This Row],[B16-O]]/Rådatakommune[[#This Row],[Landareal2016-O]]</f>
        <v>34.201875876577837</v>
      </c>
      <c r="P230" s="36">
        <f>Rådatakommune[[#This Row],[B16-O]]/Rådatakommune[[#This Row],[Totalareal2016-O]]</f>
        <v>32.857533842817745</v>
      </c>
      <c r="Q230" s="38">
        <f>Rådatakommune[[#This Row],[B16-O]]/Rådatakommune[[#This Row],[B06-O]]-1</f>
        <v>0.1747835905156192</v>
      </c>
      <c r="R230" s="24">
        <f>Rådatakommune[[#This Row],[Kvinner20-39-O]]/Rådatakommune[[#This Row],[B16-O]]</f>
        <v>0.12109950663163965</v>
      </c>
      <c r="S230" s="24">
        <f>Rådatakommune[[#This Row],[Eldre67+-O]]/Rådatakommune[[#This Row],[B16-O]]</f>
        <v>0.14134683154994554</v>
      </c>
      <c r="T230" s="24">
        <f>Rådatakommune[[#This Row],[S15-O]]/Rådatakommune[[#This Row],[S05-O]]-1</f>
        <v>0.15577190542420039</v>
      </c>
      <c r="U230" s="24">
        <f>Rådatakommune[[#This Row],[Y15-O]]/Rådatakommune[[#This Row],[Folk20-64-O]]</f>
        <v>0.85634349663126641</v>
      </c>
    </row>
    <row r="231" spans="1:21" x14ac:dyDescent="0.3">
      <c r="A231" s="2" t="s">
        <v>229</v>
      </c>
      <c r="B231" s="37">
        <v>2485</v>
      </c>
      <c r="C231" s="37">
        <v>2858</v>
      </c>
      <c r="D231" s="37">
        <v>1365</v>
      </c>
      <c r="E231" s="40">
        <v>489</v>
      </c>
      <c r="F231" s="41">
        <v>317</v>
      </c>
      <c r="G231">
        <v>1574</v>
      </c>
      <c r="H231" s="46">
        <v>968</v>
      </c>
      <c r="I231" s="37">
        <v>1060</v>
      </c>
      <c r="J231" s="42">
        <v>56.82</v>
      </c>
      <c r="K231" s="5">
        <v>57.55</v>
      </c>
      <c r="L231" s="37">
        <v>443900</v>
      </c>
      <c r="M231" s="43">
        <v>221.4333333333</v>
      </c>
      <c r="N231">
        <v>1</v>
      </c>
      <c r="O231" s="36">
        <f>Rådatakommune[[#This Row],[B16-O]]/Rådatakommune[[#This Row],[Landareal2016-O]]</f>
        <v>50.299190425906367</v>
      </c>
      <c r="P231" s="36">
        <f>Rådatakommune[[#This Row],[B16-O]]/Rådatakommune[[#This Row],[Totalareal2016-O]]</f>
        <v>49.6611642050391</v>
      </c>
      <c r="Q231" s="38">
        <f>Rådatakommune[[#This Row],[B16-O]]/Rådatakommune[[#This Row],[B06-O]]-1</f>
        <v>0.15010060362173028</v>
      </c>
      <c r="R231" s="24">
        <f>Rådatakommune[[#This Row],[Kvinner20-39-O]]/Rådatakommune[[#This Row],[B16-O]]</f>
        <v>0.11091672498250525</v>
      </c>
      <c r="S231" s="24">
        <f>Rådatakommune[[#This Row],[Eldre67+-O]]/Rådatakommune[[#This Row],[B16-O]]</f>
        <v>0.17109867039888033</v>
      </c>
      <c r="T231" s="24">
        <f>Rådatakommune[[#This Row],[S15-O]]/Rådatakommune[[#This Row],[S05-O]]-1</f>
        <v>9.5041322314049603E-2</v>
      </c>
      <c r="U231" s="24">
        <f>Rådatakommune[[#This Row],[Y15-O]]/Rådatakommune[[#This Row],[Folk20-64-O]]</f>
        <v>0.8672172808132147</v>
      </c>
    </row>
    <row r="232" spans="1:21" x14ac:dyDescent="0.3">
      <c r="A232" s="2" t="s">
        <v>230</v>
      </c>
      <c r="B232" s="37">
        <v>638</v>
      </c>
      <c r="C232" s="37">
        <v>576</v>
      </c>
      <c r="D232" s="37">
        <v>256</v>
      </c>
      <c r="E232" s="40">
        <v>116</v>
      </c>
      <c r="F232" s="41">
        <v>49</v>
      </c>
      <c r="G232">
        <v>299</v>
      </c>
      <c r="H232" s="46">
        <v>259</v>
      </c>
      <c r="I232" s="37">
        <v>224</v>
      </c>
      <c r="J232" s="42">
        <v>8.9499999999999993</v>
      </c>
      <c r="K232" s="5">
        <v>9.2799999999999994</v>
      </c>
      <c r="L232" s="37">
        <v>405300</v>
      </c>
      <c r="M232" s="43">
        <v>257.116666667</v>
      </c>
      <c r="N232">
        <v>11</v>
      </c>
      <c r="O232" s="36">
        <f>Rådatakommune[[#This Row],[B16-O]]/Rådatakommune[[#This Row],[Landareal2016-O]]</f>
        <v>64.357541899441344</v>
      </c>
      <c r="P232" s="36">
        <f>Rådatakommune[[#This Row],[B16-O]]/Rådatakommune[[#This Row],[Totalareal2016-O]]</f>
        <v>62.068965517241381</v>
      </c>
      <c r="Q232" s="38">
        <f>Rådatakommune[[#This Row],[B16-O]]/Rådatakommune[[#This Row],[B06-O]]-1</f>
        <v>-9.7178683385579889E-2</v>
      </c>
      <c r="R232" s="24">
        <f>Rådatakommune[[#This Row],[Kvinner20-39-O]]/Rådatakommune[[#This Row],[B16-O]]</f>
        <v>8.5069444444444448E-2</v>
      </c>
      <c r="S232" s="24">
        <f>Rådatakommune[[#This Row],[Eldre67+-O]]/Rådatakommune[[#This Row],[B16-O]]</f>
        <v>0.2013888888888889</v>
      </c>
      <c r="T232" s="24">
        <f>Rådatakommune[[#This Row],[S15-O]]/Rådatakommune[[#This Row],[S05-O]]-1</f>
        <v>-0.13513513513513509</v>
      </c>
      <c r="U232" s="24">
        <f>Rådatakommune[[#This Row],[Y15-O]]/Rådatakommune[[#This Row],[Folk20-64-O]]</f>
        <v>0.85618729096989965</v>
      </c>
    </row>
    <row r="233" spans="1:21" x14ac:dyDescent="0.3">
      <c r="A233" s="2" t="s">
        <v>231</v>
      </c>
      <c r="B233" s="37">
        <v>1693</v>
      </c>
      <c r="C233" s="37">
        <v>1701</v>
      </c>
      <c r="D233" s="37">
        <v>872</v>
      </c>
      <c r="E233" s="40">
        <v>356</v>
      </c>
      <c r="F233" s="41">
        <v>163</v>
      </c>
      <c r="G233">
        <v>896</v>
      </c>
      <c r="H233" s="46">
        <v>552</v>
      </c>
      <c r="I233" s="37">
        <v>603</v>
      </c>
      <c r="J233" s="42">
        <v>510.85</v>
      </c>
      <c r="K233" s="5">
        <v>556.07000000000005</v>
      </c>
      <c r="L233" s="37">
        <v>402300</v>
      </c>
      <c r="M233" s="43">
        <v>228.38333333330002</v>
      </c>
      <c r="N233">
        <v>5</v>
      </c>
      <c r="O233" s="36">
        <f>Rådatakommune[[#This Row],[B16-O]]/Rådatakommune[[#This Row],[Landareal2016-O]]</f>
        <v>3.3297445434080455</v>
      </c>
      <c r="P233" s="36">
        <f>Rådatakommune[[#This Row],[B16-O]]/Rådatakommune[[#This Row],[Totalareal2016-O]]</f>
        <v>3.0589673961911266</v>
      </c>
      <c r="Q233" s="38">
        <f>Rådatakommune[[#This Row],[B16-O]]/Rådatakommune[[#This Row],[B06-O]]-1</f>
        <v>4.7253396337860742E-3</v>
      </c>
      <c r="R233" s="24">
        <f>Rådatakommune[[#This Row],[Kvinner20-39-O]]/Rådatakommune[[#This Row],[B16-O]]</f>
        <v>9.5825984714873608E-2</v>
      </c>
      <c r="S233" s="24">
        <f>Rådatakommune[[#This Row],[Eldre67+-O]]/Rådatakommune[[#This Row],[B16-O]]</f>
        <v>0.20928865373309818</v>
      </c>
      <c r="T233" s="24">
        <f>Rådatakommune[[#This Row],[S15-O]]/Rådatakommune[[#This Row],[S05-O]]-1</f>
        <v>9.2391304347826164E-2</v>
      </c>
      <c r="U233" s="24">
        <f>Rådatakommune[[#This Row],[Y15-O]]/Rådatakommune[[#This Row],[Folk20-64-O]]</f>
        <v>0.9732142857142857</v>
      </c>
    </row>
    <row r="234" spans="1:21" x14ac:dyDescent="0.3">
      <c r="A234" s="2" t="s">
        <v>232</v>
      </c>
      <c r="B234" s="37">
        <v>11410</v>
      </c>
      <c r="C234" s="37">
        <v>11923</v>
      </c>
      <c r="D234" s="37">
        <v>6031</v>
      </c>
      <c r="E234" s="40">
        <v>1584</v>
      </c>
      <c r="F234" s="41">
        <v>1403</v>
      </c>
      <c r="G234">
        <v>6915</v>
      </c>
      <c r="H234" s="46">
        <v>5332</v>
      </c>
      <c r="I234" s="37">
        <v>5604</v>
      </c>
      <c r="J234" s="42">
        <v>647.78</v>
      </c>
      <c r="K234" s="5">
        <v>693.32999999999993</v>
      </c>
      <c r="L234" s="37">
        <v>416500</v>
      </c>
      <c r="M234" s="43">
        <v>168.11666666667</v>
      </c>
      <c r="N234">
        <v>7</v>
      </c>
      <c r="O234" s="36">
        <f>Rådatakommune[[#This Row],[B16-O]]/Rådatakommune[[#This Row],[Landareal2016-O]]</f>
        <v>18.405940288369511</v>
      </c>
      <c r="P234" s="36">
        <f>Rådatakommune[[#This Row],[B16-O]]/Rådatakommune[[#This Row],[Totalareal2016-O]]</f>
        <v>17.196717291910058</v>
      </c>
      <c r="Q234" s="38">
        <f>Rådatakommune[[#This Row],[B16-O]]/Rådatakommune[[#This Row],[B06-O]]-1</f>
        <v>4.4960560911481151E-2</v>
      </c>
      <c r="R234" s="24">
        <f>Rådatakommune[[#This Row],[Kvinner20-39-O]]/Rådatakommune[[#This Row],[B16-O]]</f>
        <v>0.11767172691436718</v>
      </c>
      <c r="S234" s="24">
        <f>Rådatakommune[[#This Row],[Eldre67+-O]]/Rådatakommune[[#This Row],[B16-O]]</f>
        <v>0.13285247001593559</v>
      </c>
      <c r="T234" s="24">
        <f>Rådatakommune[[#This Row],[S15-O]]/Rådatakommune[[#This Row],[S05-O]]-1</f>
        <v>5.1012753188297122E-2</v>
      </c>
      <c r="U234" s="24">
        <f>Rådatakommune[[#This Row],[Y15-O]]/Rådatakommune[[#This Row],[Folk20-64-O]]</f>
        <v>0.87216196673897328</v>
      </c>
    </row>
    <row r="235" spans="1:21" x14ac:dyDescent="0.3">
      <c r="A235" s="2" t="s">
        <v>233</v>
      </c>
      <c r="B235" s="37">
        <v>2417</v>
      </c>
      <c r="C235" s="37">
        <v>2370</v>
      </c>
      <c r="D235" s="37">
        <v>1271</v>
      </c>
      <c r="E235" s="40">
        <v>463</v>
      </c>
      <c r="F235" s="41">
        <v>260</v>
      </c>
      <c r="G235">
        <v>1296</v>
      </c>
      <c r="H235" s="46">
        <v>1140</v>
      </c>
      <c r="I235" s="37">
        <v>1255</v>
      </c>
      <c r="J235" s="42">
        <v>575.41</v>
      </c>
      <c r="K235" s="5">
        <v>597.20999999999992</v>
      </c>
      <c r="L235" s="37">
        <v>390800</v>
      </c>
      <c r="M235" s="43">
        <v>259.383333333</v>
      </c>
      <c r="N235">
        <v>11</v>
      </c>
      <c r="O235" s="36">
        <f>Rådatakommune[[#This Row],[B16-O]]/Rådatakommune[[#This Row],[Landareal2016-O]]</f>
        <v>4.1188022453554858</v>
      </c>
      <c r="P235" s="36">
        <f>Rådatakommune[[#This Row],[B16-O]]/Rådatakommune[[#This Row],[Totalareal2016-O]]</f>
        <v>3.9684533078816502</v>
      </c>
      <c r="Q235" s="38">
        <f>Rådatakommune[[#This Row],[B16-O]]/Rådatakommune[[#This Row],[B06-O]]-1</f>
        <v>-1.9445593711212239E-2</v>
      </c>
      <c r="R235" s="24">
        <f>Rådatakommune[[#This Row],[Kvinner20-39-O]]/Rådatakommune[[#This Row],[B16-O]]</f>
        <v>0.10970464135021098</v>
      </c>
      <c r="S235" s="24">
        <f>Rådatakommune[[#This Row],[Eldre67+-O]]/Rådatakommune[[#This Row],[B16-O]]</f>
        <v>0.19535864978902953</v>
      </c>
      <c r="T235" s="24">
        <f>Rådatakommune[[#This Row],[S15-O]]/Rådatakommune[[#This Row],[S05-O]]-1</f>
        <v>0.10087719298245612</v>
      </c>
      <c r="U235" s="24">
        <f>Rådatakommune[[#This Row],[Y15-O]]/Rådatakommune[[#This Row],[Folk20-64-O]]</f>
        <v>0.98070987654320985</v>
      </c>
    </row>
    <row r="236" spans="1:21" x14ac:dyDescent="0.3">
      <c r="A236" s="2" t="s">
        <v>234</v>
      </c>
      <c r="B236" s="37">
        <v>877</v>
      </c>
      <c r="C236" s="37">
        <v>785</v>
      </c>
      <c r="D236" s="37">
        <v>390</v>
      </c>
      <c r="E236" s="40">
        <v>175</v>
      </c>
      <c r="F236" s="41">
        <v>64</v>
      </c>
      <c r="G236">
        <v>434</v>
      </c>
      <c r="H236" s="46">
        <v>380</v>
      </c>
      <c r="I236" s="37">
        <v>349</v>
      </c>
      <c r="J236" s="42">
        <v>219.11</v>
      </c>
      <c r="K236" s="5">
        <v>228.25</v>
      </c>
      <c r="L236" s="37">
        <v>386100</v>
      </c>
      <c r="M236" s="43">
        <v>311.3</v>
      </c>
      <c r="N236">
        <v>11</v>
      </c>
      <c r="O236" s="36">
        <f>Rådatakommune[[#This Row],[B16-O]]/Rådatakommune[[#This Row],[Landareal2016-O]]</f>
        <v>3.5826753685363513</v>
      </c>
      <c r="P236" s="36">
        <f>Rådatakommune[[#This Row],[B16-O]]/Rådatakommune[[#This Row],[Totalareal2016-O]]</f>
        <v>3.4392113910186199</v>
      </c>
      <c r="Q236" s="38">
        <f>Rådatakommune[[#This Row],[B16-O]]/Rådatakommune[[#This Row],[B06-O]]-1</f>
        <v>-0.10490307867730897</v>
      </c>
      <c r="R236" s="24">
        <f>Rådatakommune[[#This Row],[Kvinner20-39-O]]/Rådatakommune[[#This Row],[B16-O]]</f>
        <v>8.1528662420382161E-2</v>
      </c>
      <c r="S236" s="24">
        <f>Rådatakommune[[#This Row],[Eldre67+-O]]/Rådatakommune[[#This Row],[B16-O]]</f>
        <v>0.22292993630573249</v>
      </c>
      <c r="T236" s="24">
        <f>Rådatakommune[[#This Row],[S15-O]]/Rådatakommune[[#This Row],[S05-O]]-1</f>
        <v>-8.1578947368421084E-2</v>
      </c>
      <c r="U236" s="24">
        <f>Rådatakommune[[#This Row],[Y15-O]]/Rådatakommune[[#This Row],[Folk20-64-O]]</f>
        <v>0.89861751152073732</v>
      </c>
    </row>
    <row r="237" spans="1:21" x14ac:dyDescent="0.3">
      <c r="A237" s="2" t="s">
        <v>235</v>
      </c>
      <c r="B237" s="37">
        <v>1502</v>
      </c>
      <c r="C237" s="37">
        <v>1395</v>
      </c>
      <c r="D237" s="37">
        <v>692</v>
      </c>
      <c r="E237" s="40">
        <v>314</v>
      </c>
      <c r="F237" s="41">
        <v>109</v>
      </c>
      <c r="G237">
        <v>733</v>
      </c>
      <c r="H237" s="46">
        <v>713</v>
      </c>
      <c r="I237" s="37">
        <v>714</v>
      </c>
      <c r="J237" s="42">
        <v>247.81</v>
      </c>
      <c r="K237" s="5">
        <v>258.89999999999998</v>
      </c>
      <c r="L237" s="37">
        <v>375600</v>
      </c>
      <c r="M237" s="43">
        <v>210.9166666667</v>
      </c>
      <c r="N237">
        <v>11</v>
      </c>
      <c r="O237" s="36">
        <f>Rådatakommune[[#This Row],[B16-O]]/Rådatakommune[[#This Row],[Landareal2016-O]]</f>
        <v>5.6293127799523832</v>
      </c>
      <c r="P237" s="36">
        <f>Rådatakommune[[#This Row],[B16-O]]/Rådatakommune[[#This Row],[Totalareal2016-O]]</f>
        <v>5.3881807647740443</v>
      </c>
      <c r="Q237" s="38">
        <f>Rådatakommune[[#This Row],[B16-O]]/Rådatakommune[[#This Row],[B06-O]]-1</f>
        <v>-7.1238348868175816E-2</v>
      </c>
      <c r="R237" s="24">
        <f>Rådatakommune[[#This Row],[Kvinner20-39-O]]/Rådatakommune[[#This Row],[B16-O]]</f>
        <v>7.8136200716845877E-2</v>
      </c>
      <c r="S237" s="24">
        <f>Rådatakommune[[#This Row],[Eldre67+-O]]/Rådatakommune[[#This Row],[B16-O]]</f>
        <v>0.22508960573476702</v>
      </c>
      <c r="T237" s="24">
        <f>Rådatakommune[[#This Row],[S15-O]]/Rådatakommune[[#This Row],[S05-O]]-1</f>
        <v>1.4025245441795509E-3</v>
      </c>
      <c r="U237" s="24">
        <f>Rådatakommune[[#This Row],[Y15-O]]/Rådatakommune[[#This Row],[Folk20-64-O]]</f>
        <v>0.94406548431105053</v>
      </c>
    </row>
    <row r="238" spans="1:21" x14ac:dyDescent="0.3">
      <c r="A238" s="2" t="s">
        <v>236</v>
      </c>
      <c r="B238" s="37">
        <v>4448</v>
      </c>
      <c r="C238" s="37">
        <v>4161</v>
      </c>
      <c r="D238" s="37">
        <v>1935</v>
      </c>
      <c r="E238" s="40">
        <v>763</v>
      </c>
      <c r="F238" s="41">
        <v>407</v>
      </c>
      <c r="G238">
        <v>2295</v>
      </c>
      <c r="H238" s="46">
        <v>2118</v>
      </c>
      <c r="I238" s="37">
        <v>1637</v>
      </c>
      <c r="J238" s="42">
        <v>838.09</v>
      </c>
      <c r="K238" s="5">
        <v>905.41000000000008</v>
      </c>
      <c r="L238" s="37">
        <v>384800</v>
      </c>
      <c r="M238" s="43">
        <v>198.6</v>
      </c>
      <c r="N238">
        <v>9</v>
      </c>
      <c r="O238" s="36">
        <f>Rådatakommune[[#This Row],[B16-O]]/Rådatakommune[[#This Row],[Landareal2016-O]]</f>
        <v>4.9648605758331446</v>
      </c>
      <c r="P238" s="36">
        <f>Rådatakommune[[#This Row],[B16-O]]/Rådatakommune[[#This Row],[Totalareal2016-O]]</f>
        <v>4.5957080217801876</v>
      </c>
      <c r="Q238" s="38">
        <f>Rådatakommune[[#This Row],[B16-O]]/Rådatakommune[[#This Row],[B06-O]]-1</f>
        <v>-6.4523381294964044E-2</v>
      </c>
      <c r="R238" s="24">
        <f>Rådatakommune[[#This Row],[Kvinner20-39-O]]/Rådatakommune[[#This Row],[B16-O]]</f>
        <v>9.7813025714972357E-2</v>
      </c>
      <c r="S238" s="24">
        <f>Rådatakommune[[#This Row],[Eldre67+-O]]/Rådatakommune[[#This Row],[B16-O]]</f>
        <v>0.1833693823600096</v>
      </c>
      <c r="T238" s="24">
        <f>Rådatakommune[[#This Row],[S15-O]]/Rådatakommune[[#This Row],[S05-O]]-1</f>
        <v>-0.22710103871576959</v>
      </c>
      <c r="U238" s="24">
        <f>Rådatakommune[[#This Row],[Y15-O]]/Rådatakommune[[#This Row],[Folk20-64-O]]</f>
        <v>0.84313725490196079</v>
      </c>
    </row>
    <row r="239" spans="1:21" x14ac:dyDescent="0.3">
      <c r="A239" s="2" t="s">
        <v>237</v>
      </c>
      <c r="B239" s="37">
        <v>2847</v>
      </c>
      <c r="C239" s="37">
        <v>2689</v>
      </c>
      <c r="D239" s="37">
        <v>1393</v>
      </c>
      <c r="E239" s="40">
        <v>600</v>
      </c>
      <c r="F239" s="41">
        <v>266</v>
      </c>
      <c r="G239">
        <v>1409</v>
      </c>
      <c r="H239" s="46">
        <v>1263</v>
      </c>
      <c r="I239" s="37">
        <v>1256</v>
      </c>
      <c r="J239" s="42">
        <v>797.35</v>
      </c>
      <c r="K239" s="5">
        <v>833.33</v>
      </c>
      <c r="L239" s="37">
        <v>379500</v>
      </c>
      <c r="M239" s="43">
        <v>219.36666666669998</v>
      </c>
      <c r="N239">
        <v>11</v>
      </c>
      <c r="O239" s="36">
        <f>Rådatakommune[[#This Row],[B16-O]]/Rådatakommune[[#This Row],[Landareal2016-O]]</f>
        <v>3.3724211450429546</v>
      </c>
      <c r="P239" s="36">
        <f>Rådatakommune[[#This Row],[B16-O]]/Rådatakommune[[#This Row],[Totalareal2016-O]]</f>
        <v>3.2268129072516287</v>
      </c>
      <c r="Q239" s="38">
        <f>Rådatakommune[[#This Row],[B16-O]]/Rådatakommune[[#This Row],[B06-O]]-1</f>
        <v>-5.5497014401123979E-2</v>
      </c>
      <c r="R239" s="24">
        <f>Rådatakommune[[#This Row],[Kvinner20-39-O]]/Rådatakommune[[#This Row],[B16-O]]</f>
        <v>9.8921532168092227E-2</v>
      </c>
      <c r="S239" s="24">
        <f>Rådatakommune[[#This Row],[Eldre67+-O]]/Rådatakommune[[#This Row],[B16-O]]</f>
        <v>0.22313127556712534</v>
      </c>
      <c r="T239" s="24">
        <f>Rådatakommune[[#This Row],[S15-O]]/Rådatakommune[[#This Row],[S05-O]]-1</f>
        <v>-5.5423594615994221E-3</v>
      </c>
      <c r="U239" s="24">
        <f>Rådatakommune[[#This Row],[Y15-O]]/Rådatakommune[[#This Row],[Folk20-64-O]]</f>
        <v>0.98864442867281765</v>
      </c>
    </row>
    <row r="240" spans="1:21" x14ac:dyDescent="0.3">
      <c r="A240" s="2" t="s">
        <v>238</v>
      </c>
      <c r="B240" s="37">
        <v>1406</v>
      </c>
      <c r="C240" s="37">
        <v>1294</v>
      </c>
      <c r="D240" s="37">
        <v>649</v>
      </c>
      <c r="E240" s="40">
        <v>242</v>
      </c>
      <c r="F240" s="41">
        <v>144</v>
      </c>
      <c r="G240">
        <v>748</v>
      </c>
      <c r="H240" s="46">
        <v>637</v>
      </c>
      <c r="I240" s="37">
        <v>528</v>
      </c>
      <c r="J240" s="42">
        <v>411.04</v>
      </c>
      <c r="K240" s="5">
        <v>429.67</v>
      </c>
      <c r="L240" s="37">
        <v>360300</v>
      </c>
      <c r="M240" s="43">
        <v>208.61666666669998</v>
      </c>
      <c r="N240">
        <v>9</v>
      </c>
      <c r="O240" s="36">
        <f>Rådatakommune[[#This Row],[B16-O]]/Rådatakommune[[#This Row],[Landareal2016-O]]</f>
        <v>3.1481121058777735</v>
      </c>
      <c r="P240" s="36">
        <f>Rådatakommune[[#This Row],[B16-O]]/Rådatakommune[[#This Row],[Totalareal2016-O]]</f>
        <v>3.0116135638978752</v>
      </c>
      <c r="Q240" s="38">
        <f>Rådatakommune[[#This Row],[B16-O]]/Rådatakommune[[#This Row],[B06-O]]-1</f>
        <v>-7.9658605974395447E-2</v>
      </c>
      <c r="R240" s="24">
        <f>Rådatakommune[[#This Row],[Kvinner20-39-O]]/Rådatakommune[[#This Row],[B16-O]]</f>
        <v>0.11128284389489954</v>
      </c>
      <c r="S240" s="24">
        <f>Rådatakommune[[#This Row],[Eldre67+-O]]/Rådatakommune[[#This Row],[B16-O]]</f>
        <v>0.18701700154559506</v>
      </c>
      <c r="T240" s="24">
        <f>Rådatakommune[[#This Row],[S15-O]]/Rådatakommune[[#This Row],[S05-O]]-1</f>
        <v>-0.17111459968602827</v>
      </c>
      <c r="U240" s="24">
        <f>Rådatakommune[[#This Row],[Y15-O]]/Rådatakommune[[#This Row],[Folk20-64-O]]</f>
        <v>0.86764705882352944</v>
      </c>
    </row>
    <row r="241" spans="1:21" x14ac:dyDescent="0.3">
      <c r="A241" s="2" t="s">
        <v>239</v>
      </c>
      <c r="B241" s="37">
        <v>2199</v>
      </c>
      <c r="C241" s="37">
        <v>2298</v>
      </c>
      <c r="D241" s="37">
        <v>1188</v>
      </c>
      <c r="E241" s="40">
        <v>389</v>
      </c>
      <c r="F241" s="41">
        <v>252</v>
      </c>
      <c r="G241">
        <v>1263</v>
      </c>
      <c r="H241" s="46">
        <v>1271</v>
      </c>
      <c r="I241" s="37">
        <v>1646</v>
      </c>
      <c r="J241" s="42">
        <v>177.44</v>
      </c>
      <c r="K241" s="5">
        <v>180.1</v>
      </c>
      <c r="L241" s="37">
        <v>419400</v>
      </c>
      <c r="M241" s="43">
        <v>180.11666666669998</v>
      </c>
      <c r="N241">
        <v>8</v>
      </c>
      <c r="O241" s="36">
        <f>Rådatakommune[[#This Row],[B16-O]]/Rådatakommune[[#This Row],[Landareal2016-O]]</f>
        <v>12.950856627592426</v>
      </c>
      <c r="P241" s="36">
        <f>Rådatakommune[[#This Row],[B16-O]]/Rådatakommune[[#This Row],[Totalareal2016-O]]</f>
        <v>12.759578012215437</v>
      </c>
      <c r="Q241" s="38">
        <f>Rådatakommune[[#This Row],[B16-O]]/Rådatakommune[[#This Row],[B06-O]]-1</f>
        <v>4.5020463847203374E-2</v>
      </c>
      <c r="R241" s="24">
        <f>Rådatakommune[[#This Row],[Kvinner20-39-O]]/Rådatakommune[[#This Row],[B16-O]]</f>
        <v>0.10966057441253264</v>
      </c>
      <c r="S241" s="24">
        <f>Rådatakommune[[#This Row],[Eldre67+-O]]/Rådatakommune[[#This Row],[B16-O]]</f>
        <v>0.16927763272410792</v>
      </c>
      <c r="T241" s="24">
        <f>Rådatakommune[[#This Row],[S15-O]]/Rådatakommune[[#This Row],[S05-O]]-1</f>
        <v>0.29504327301337518</v>
      </c>
      <c r="U241" s="24">
        <f>Rådatakommune[[#This Row],[Y15-O]]/Rådatakommune[[#This Row],[Folk20-64-O]]</f>
        <v>0.94061757719714967</v>
      </c>
    </row>
    <row r="242" spans="1:21" x14ac:dyDescent="0.3">
      <c r="A242" s="2" t="s">
        <v>240</v>
      </c>
      <c r="B242" s="37">
        <v>6836</v>
      </c>
      <c r="C242" s="37">
        <v>7839</v>
      </c>
      <c r="D242" s="37">
        <v>4239</v>
      </c>
      <c r="E242" s="40">
        <v>1096</v>
      </c>
      <c r="F242" s="41">
        <v>1121</v>
      </c>
      <c r="G242">
        <v>4670</v>
      </c>
      <c r="H242" s="46">
        <v>3829</v>
      </c>
      <c r="I242" s="37">
        <v>4513</v>
      </c>
      <c r="J242" s="42">
        <v>736.02</v>
      </c>
      <c r="K242" s="5">
        <v>745.82999999999993</v>
      </c>
      <c r="L242" s="37">
        <v>384600</v>
      </c>
      <c r="M242" s="43">
        <v>163.5833333333</v>
      </c>
      <c r="N242">
        <v>8</v>
      </c>
      <c r="O242" s="36">
        <f>Rådatakommune[[#This Row],[B16-O]]/Rådatakommune[[#This Row],[Landareal2016-O]]</f>
        <v>10.650525800929323</v>
      </c>
      <c r="P242" s="36">
        <f>Rådatakommune[[#This Row],[B16-O]]/Rådatakommune[[#This Row],[Totalareal2016-O]]</f>
        <v>10.510438035477254</v>
      </c>
      <c r="Q242" s="38">
        <f>Rådatakommune[[#This Row],[B16-O]]/Rådatakommune[[#This Row],[B06-O]]-1</f>
        <v>0.14672322995904041</v>
      </c>
      <c r="R242" s="24">
        <f>Rådatakommune[[#This Row],[Kvinner20-39-O]]/Rådatakommune[[#This Row],[B16-O]]</f>
        <v>0.14300293404771017</v>
      </c>
      <c r="S242" s="24">
        <f>Rådatakommune[[#This Row],[Eldre67+-O]]/Rådatakommune[[#This Row],[B16-O]]</f>
        <v>0.13981375175405025</v>
      </c>
      <c r="T242" s="24">
        <f>Rådatakommune[[#This Row],[S15-O]]/Rådatakommune[[#This Row],[S05-O]]-1</f>
        <v>0.17863671977017503</v>
      </c>
      <c r="U242" s="24">
        <f>Rådatakommune[[#This Row],[Y15-O]]/Rådatakommune[[#This Row],[Folk20-64-O]]</f>
        <v>0.90770877944325479</v>
      </c>
    </row>
    <row r="243" spans="1:21" x14ac:dyDescent="0.3">
      <c r="A243" s="2" t="s">
        <v>241</v>
      </c>
      <c r="B243" s="37">
        <v>1733</v>
      </c>
      <c r="C243" s="37">
        <v>1764</v>
      </c>
      <c r="D243" s="37">
        <v>920</v>
      </c>
      <c r="E243" s="40">
        <v>324</v>
      </c>
      <c r="F243" s="41">
        <v>222</v>
      </c>
      <c r="G243">
        <v>1027</v>
      </c>
      <c r="H243" s="46">
        <v>796</v>
      </c>
      <c r="I243" s="37">
        <v>828</v>
      </c>
      <c r="J243" s="42">
        <v>1377.49</v>
      </c>
      <c r="K243" s="5">
        <v>1467.6</v>
      </c>
      <c r="L243" s="37">
        <v>377200</v>
      </c>
      <c r="M243" s="43">
        <v>204.8166666667</v>
      </c>
      <c r="N243">
        <v>11</v>
      </c>
      <c r="O243" s="36">
        <f>Rådatakommune[[#This Row],[B16-O]]/Rådatakommune[[#This Row],[Landareal2016-O]]</f>
        <v>1.280590058730009</v>
      </c>
      <c r="P243" s="36">
        <f>Rådatakommune[[#This Row],[B16-O]]/Rådatakommune[[#This Row],[Totalareal2016-O]]</f>
        <v>1.2019623875715455</v>
      </c>
      <c r="Q243" s="38">
        <f>Rådatakommune[[#This Row],[B16-O]]/Rådatakommune[[#This Row],[B06-O]]-1</f>
        <v>1.7888055395268276E-2</v>
      </c>
      <c r="R243" s="24">
        <f>Rådatakommune[[#This Row],[Kvinner20-39-O]]/Rådatakommune[[#This Row],[B16-O]]</f>
        <v>0.12585034013605442</v>
      </c>
      <c r="S243" s="24">
        <f>Rådatakommune[[#This Row],[Eldre67+-O]]/Rådatakommune[[#This Row],[B16-O]]</f>
        <v>0.18367346938775511</v>
      </c>
      <c r="T243" s="24">
        <f>Rådatakommune[[#This Row],[S15-O]]/Rådatakommune[[#This Row],[S05-O]]-1</f>
        <v>4.020100502512558E-2</v>
      </c>
      <c r="U243" s="24">
        <f>Rådatakommune[[#This Row],[Y15-O]]/Rådatakommune[[#This Row],[Folk20-64-O]]</f>
        <v>0.89581304771178194</v>
      </c>
    </row>
    <row r="244" spans="1:21" x14ac:dyDescent="0.3">
      <c r="A244" s="2" t="s">
        <v>242</v>
      </c>
      <c r="B244" s="37">
        <v>2155</v>
      </c>
      <c r="C244" s="37">
        <v>2172</v>
      </c>
      <c r="D244" s="37">
        <v>1118</v>
      </c>
      <c r="E244" s="40">
        <v>411</v>
      </c>
      <c r="F244" s="41">
        <v>201</v>
      </c>
      <c r="G244">
        <v>1209</v>
      </c>
      <c r="H244" s="46">
        <v>1034</v>
      </c>
      <c r="I244" s="37">
        <v>1058</v>
      </c>
      <c r="J244" s="42">
        <v>1275.82</v>
      </c>
      <c r="K244" s="5">
        <v>1342.48</v>
      </c>
      <c r="L244" s="37">
        <v>388300</v>
      </c>
      <c r="M244" s="43">
        <v>179.5</v>
      </c>
      <c r="N244">
        <v>9</v>
      </c>
      <c r="O244" s="36">
        <f>Rådatakommune[[#This Row],[B16-O]]/Rådatakommune[[#This Row],[Landareal2016-O]]</f>
        <v>1.7024345127055542</v>
      </c>
      <c r="P244" s="36">
        <f>Rådatakommune[[#This Row],[B16-O]]/Rådatakommune[[#This Row],[Totalareal2016-O]]</f>
        <v>1.6179011977832072</v>
      </c>
      <c r="Q244" s="38">
        <f>Rådatakommune[[#This Row],[B16-O]]/Rådatakommune[[#This Row],[B06-O]]-1</f>
        <v>7.8886310904873191E-3</v>
      </c>
      <c r="R244" s="24">
        <f>Rådatakommune[[#This Row],[Kvinner20-39-O]]/Rådatakommune[[#This Row],[B16-O]]</f>
        <v>9.2541436464088397E-2</v>
      </c>
      <c r="S244" s="24">
        <f>Rådatakommune[[#This Row],[Eldre67+-O]]/Rådatakommune[[#This Row],[B16-O]]</f>
        <v>0.18922651933701656</v>
      </c>
      <c r="T244" s="24">
        <f>Rådatakommune[[#This Row],[S15-O]]/Rådatakommune[[#This Row],[S05-O]]-1</f>
        <v>2.3210831721470093E-2</v>
      </c>
      <c r="U244" s="24">
        <f>Rådatakommune[[#This Row],[Y15-O]]/Rådatakommune[[#This Row],[Folk20-64-O]]</f>
        <v>0.92473118279569888</v>
      </c>
    </row>
    <row r="245" spans="1:21" x14ac:dyDescent="0.3">
      <c r="A245" s="2" t="s">
        <v>243</v>
      </c>
      <c r="B245" s="37">
        <v>5549</v>
      </c>
      <c r="C245" s="37">
        <v>5359</v>
      </c>
      <c r="D245" s="37">
        <v>2567</v>
      </c>
      <c r="E245" s="40">
        <v>1036</v>
      </c>
      <c r="F245" s="41">
        <v>545</v>
      </c>
      <c r="G245">
        <v>3029</v>
      </c>
      <c r="H245" s="46">
        <v>2831</v>
      </c>
      <c r="I245" s="37">
        <v>2699</v>
      </c>
      <c r="J245" s="42">
        <v>929.98</v>
      </c>
      <c r="K245" s="5">
        <v>976.54</v>
      </c>
      <c r="L245" s="37">
        <v>396900</v>
      </c>
      <c r="M245" s="43">
        <v>192.23333333330001</v>
      </c>
      <c r="N245">
        <v>9</v>
      </c>
      <c r="O245" s="36">
        <f>Rådatakommune[[#This Row],[B16-O]]/Rådatakommune[[#This Row],[Landareal2016-O]]</f>
        <v>5.7624895159035674</v>
      </c>
      <c r="P245" s="36">
        <f>Rådatakommune[[#This Row],[B16-O]]/Rådatakommune[[#This Row],[Totalareal2016-O]]</f>
        <v>5.4877424375857622</v>
      </c>
      <c r="Q245" s="38">
        <f>Rådatakommune[[#This Row],[B16-O]]/Rådatakommune[[#This Row],[B06-O]]-1</f>
        <v>-3.4240403676338071E-2</v>
      </c>
      <c r="R245" s="24">
        <f>Rådatakommune[[#This Row],[Kvinner20-39-O]]/Rådatakommune[[#This Row],[B16-O]]</f>
        <v>0.1016980779996268</v>
      </c>
      <c r="S245" s="24">
        <f>Rådatakommune[[#This Row],[Eldre67+-O]]/Rådatakommune[[#This Row],[B16-O]]</f>
        <v>0.1933196491882814</v>
      </c>
      <c r="T245" s="24">
        <f>Rådatakommune[[#This Row],[S15-O]]/Rådatakommune[[#This Row],[S05-O]]-1</f>
        <v>-4.6626633698339859E-2</v>
      </c>
      <c r="U245" s="24">
        <f>Rådatakommune[[#This Row],[Y15-O]]/Rådatakommune[[#This Row],[Folk20-64-O]]</f>
        <v>0.84747441399801915</v>
      </c>
    </row>
    <row r="246" spans="1:21" x14ac:dyDescent="0.3">
      <c r="A246" s="2" t="s">
        <v>244</v>
      </c>
      <c r="B246" s="37">
        <v>4889</v>
      </c>
      <c r="C246" s="37">
        <v>5093</v>
      </c>
      <c r="D246" s="37">
        <v>2617</v>
      </c>
      <c r="E246" s="40">
        <v>906</v>
      </c>
      <c r="F246" s="41">
        <v>571</v>
      </c>
      <c r="G246">
        <v>2788</v>
      </c>
      <c r="H246" s="46">
        <v>1903</v>
      </c>
      <c r="I246" s="37">
        <v>1987</v>
      </c>
      <c r="J246" s="42">
        <v>2600.6799999999998</v>
      </c>
      <c r="K246" s="5">
        <v>2706.22</v>
      </c>
      <c r="L246" s="37">
        <v>369300</v>
      </c>
      <c r="M246" s="43">
        <v>183.9</v>
      </c>
      <c r="N246">
        <v>8</v>
      </c>
      <c r="O246" s="36">
        <f>Rådatakommune[[#This Row],[B16-O]]/Rådatakommune[[#This Row],[Landareal2016-O]]</f>
        <v>1.9583339741913655</v>
      </c>
      <c r="P246" s="36">
        <f>Rådatakommune[[#This Row],[B16-O]]/Rådatakommune[[#This Row],[Totalareal2016-O]]</f>
        <v>1.8819608161938055</v>
      </c>
      <c r="Q246" s="38">
        <f>Rådatakommune[[#This Row],[B16-O]]/Rådatakommune[[#This Row],[B06-O]]-1</f>
        <v>4.1726324401718085E-2</v>
      </c>
      <c r="R246" s="24">
        <f>Rådatakommune[[#This Row],[Kvinner20-39-O]]/Rådatakommune[[#This Row],[B16-O]]</f>
        <v>0.11211466719026114</v>
      </c>
      <c r="S246" s="24">
        <f>Rådatakommune[[#This Row],[Eldre67+-O]]/Rådatakommune[[#This Row],[B16-O]]</f>
        <v>0.17789122324759474</v>
      </c>
      <c r="T246" s="24">
        <f>Rådatakommune[[#This Row],[S15-O]]/Rådatakommune[[#This Row],[S05-O]]-1</f>
        <v>4.4140830267997977E-2</v>
      </c>
      <c r="U246" s="24">
        <f>Rådatakommune[[#This Row],[Y15-O]]/Rådatakommune[[#This Row],[Folk20-64-O]]</f>
        <v>0.93866571018651368</v>
      </c>
    </row>
    <row r="247" spans="1:21" x14ac:dyDescent="0.3">
      <c r="A247" s="2" t="s">
        <v>245</v>
      </c>
      <c r="B247" s="37">
        <v>3182</v>
      </c>
      <c r="C247" s="37">
        <v>3023</v>
      </c>
      <c r="D247" s="37">
        <v>1446</v>
      </c>
      <c r="E247" s="40">
        <v>660</v>
      </c>
      <c r="F247" s="41">
        <v>288</v>
      </c>
      <c r="G247">
        <v>1567</v>
      </c>
      <c r="H247" s="46">
        <v>1195</v>
      </c>
      <c r="I247" s="37">
        <v>1102</v>
      </c>
      <c r="J247" s="42">
        <v>313.16000000000003</v>
      </c>
      <c r="K247" s="5">
        <v>326.17</v>
      </c>
      <c r="L247" s="37">
        <v>370300</v>
      </c>
      <c r="M247" s="43">
        <v>196.4</v>
      </c>
      <c r="N247">
        <v>8</v>
      </c>
      <c r="O247" s="36">
        <f>Rådatakommune[[#This Row],[B16-O]]/Rådatakommune[[#This Row],[Landareal2016-O]]</f>
        <v>9.6532124153787198</v>
      </c>
      <c r="P247" s="36">
        <f>Rådatakommune[[#This Row],[B16-O]]/Rådatakommune[[#This Row],[Totalareal2016-O]]</f>
        <v>9.2681730385995031</v>
      </c>
      <c r="Q247" s="38">
        <f>Rådatakommune[[#This Row],[B16-O]]/Rådatakommune[[#This Row],[B06-O]]-1</f>
        <v>-4.9968573224387192E-2</v>
      </c>
      <c r="R247" s="24">
        <f>Rådatakommune[[#This Row],[Kvinner20-39-O]]/Rådatakommune[[#This Row],[B16-O]]</f>
        <v>9.5269599735362226E-2</v>
      </c>
      <c r="S247" s="24">
        <f>Rådatakommune[[#This Row],[Eldre67+-O]]/Rådatakommune[[#This Row],[B16-O]]</f>
        <v>0.21832616606020511</v>
      </c>
      <c r="T247" s="24">
        <f>Rådatakommune[[#This Row],[S15-O]]/Rådatakommune[[#This Row],[S05-O]]-1</f>
        <v>-7.7824267782426793E-2</v>
      </c>
      <c r="U247" s="24">
        <f>Rådatakommune[[#This Row],[Y15-O]]/Rådatakommune[[#This Row],[Folk20-64-O]]</f>
        <v>0.92278238672622848</v>
      </c>
    </row>
    <row r="248" spans="1:21" x14ac:dyDescent="0.3">
      <c r="A248" s="2" t="s">
        <v>246</v>
      </c>
      <c r="B248" s="37">
        <v>2881</v>
      </c>
      <c r="C248" s="37">
        <v>2830</v>
      </c>
      <c r="D248" s="37">
        <v>1356</v>
      </c>
      <c r="E248" s="40">
        <v>549</v>
      </c>
      <c r="F248" s="41">
        <v>298</v>
      </c>
      <c r="G248">
        <v>1431</v>
      </c>
      <c r="H248" s="46">
        <v>1165</v>
      </c>
      <c r="I248" s="37">
        <v>1268</v>
      </c>
      <c r="J248" s="42">
        <v>389.86</v>
      </c>
      <c r="K248" s="5">
        <v>416.51</v>
      </c>
      <c r="L248" s="37">
        <v>346400</v>
      </c>
      <c r="M248" s="43">
        <v>179.05</v>
      </c>
      <c r="N248">
        <v>6</v>
      </c>
      <c r="O248" s="36">
        <f>Rådatakommune[[#This Row],[B16-O]]/Rådatakommune[[#This Row],[Landareal2016-O]]</f>
        <v>7.2590160570461189</v>
      </c>
      <c r="P248" s="36">
        <f>Rådatakommune[[#This Row],[B16-O]]/Rådatakommune[[#This Row],[Totalareal2016-O]]</f>
        <v>6.7945547525869729</v>
      </c>
      <c r="Q248" s="38">
        <f>Rådatakommune[[#This Row],[B16-O]]/Rådatakommune[[#This Row],[B06-O]]-1</f>
        <v>-1.7702186740714998E-2</v>
      </c>
      <c r="R248" s="24">
        <f>Rådatakommune[[#This Row],[Kvinner20-39-O]]/Rådatakommune[[#This Row],[B16-O]]</f>
        <v>0.10530035335689046</v>
      </c>
      <c r="S248" s="24">
        <f>Rådatakommune[[#This Row],[Eldre67+-O]]/Rådatakommune[[#This Row],[B16-O]]</f>
        <v>0.19399293286219083</v>
      </c>
      <c r="T248" s="24">
        <f>Rådatakommune[[#This Row],[S15-O]]/Rådatakommune[[#This Row],[S05-O]]-1</f>
        <v>8.8412017167381896E-2</v>
      </c>
      <c r="U248" s="24">
        <f>Rådatakommune[[#This Row],[Y15-O]]/Rådatakommune[[#This Row],[Folk20-64-O]]</f>
        <v>0.94758909853249473</v>
      </c>
    </row>
    <row r="249" spans="1:21" x14ac:dyDescent="0.3">
      <c r="A249" s="2" t="s">
        <v>247</v>
      </c>
      <c r="B249" s="37">
        <v>2771</v>
      </c>
      <c r="C249" s="37">
        <v>2942</v>
      </c>
      <c r="D249" s="37">
        <v>1529</v>
      </c>
      <c r="E249" s="40">
        <v>459</v>
      </c>
      <c r="F249" s="41">
        <v>327</v>
      </c>
      <c r="G249">
        <v>1623</v>
      </c>
      <c r="H249" s="46">
        <v>944</v>
      </c>
      <c r="I249" s="37">
        <v>957</v>
      </c>
      <c r="J249" s="42">
        <v>538.97</v>
      </c>
      <c r="K249" s="5">
        <v>581.82000000000005</v>
      </c>
      <c r="L249" s="37">
        <v>380400</v>
      </c>
      <c r="M249" s="43">
        <v>167.6</v>
      </c>
      <c r="N249">
        <v>6</v>
      </c>
      <c r="O249" s="36">
        <f>Rådatakommune[[#This Row],[B16-O]]/Rådatakommune[[#This Row],[Landareal2016-O]]</f>
        <v>5.4585598456314823</v>
      </c>
      <c r="P249" s="36">
        <f>Rådatakommune[[#This Row],[B16-O]]/Rådatakommune[[#This Row],[Totalareal2016-O]]</f>
        <v>5.0565466982915677</v>
      </c>
      <c r="Q249" s="38">
        <f>Rådatakommune[[#This Row],[B16-O]]/Rådatakommune[[#This Row],[B06-O]]-1</f>
        <v>6.1710573800072277E-2</v>
      </c>
      <c r="R249" s="24">
        <f>Rådatakommune[[#This Row],[Kvinner20-39-O]]/Rådatakommune[[#This Row],[B16-O]]</f>
        <v>0.11114887831407207</v>
      </c>
      <c r="S249" s="24">
        <f>Rådatakommune[[#This Row],[Eldre67+-O]]/Rådatakommune[[#This Row],[B16-O]]</f>
        <v>0.15601631543167913</v>
      </c>
      <c r="T249" s="24">
        <f>Rådatakommune[[#This Row],[S15-O]]/Rådatakommune[[#This Row],[S05-O]]-1</f>
        <v>1.3771186440677985E-2</v>
      </c>
      <c r="U249" s="24">
        <f>Rådatakommune[[#This Row],[Y15-O]]/Rådatakommune[[#This Row],[Folk20-64-O]]</f>
        <v>0.94208256315465189</v>
      </c>
    </row>
    <row r="250" spans="1:21" x14ac:dyDescent="0.3">
      <c r="A250" s="2" t="s">
        <v>248</v>
      </c>
      <c r="B250" s="37">
        <v>2918</v>
      </c>
      <c r="C250" s="37">
        <v>3020</v>
      </c>
      <c r="D250" s="37">
        <v>1560</v>
      </c>
      <c r="E250" s="40">
        <v>489</v>
      </c>
      <c r="F250" s="41">
        <v>319</v>
      </c>
      <c r="G250">
        <v>1640</v>
      </c>
      <c r="H250" s="46">
        <v>986</v>
      </c>
      <c r="I250" s="37">
        <v>982</v>
      </c>
      <c r="J250" s="42">
        <v>619.61</v>
      </c>
      <c r="K250" s="5">
        <v>670.87</v>
      </c>
      <c r="L250" s="37">
        <v>385300</v>
      </c>
      <c r="M250" s="43">
        <v>193.46666666670001</v>
      </c>
      <c r="N250">
        <v>6</v>
      </c>
      <c r="O250" s="36">
        <f>Rådatakommune[[#This Row],[B16-O]]/Rådatakommune[[#This Row],[Landareal2016-O]]</f>
        <v>4.8740336663385033</v>
      </c>
      <c r="P250" s="36">
        <f>Rådatakommune[[#This Row],[B16-O]]/Rådatakommune[[#This Row],[Totalareal2016-O]]</f>
        <v>4.5016173029051831</v>
      </c>
      <c r="Q250" s="38">
        <f>Rådatakommune[[#This Row],[B16-O]]/Rådatakommune[[#This Row],[B06-O]]-1</f>
        <v>3.4955448937628475E-2</v>
      </c>
      <c r="R250" s="24">
        <f>Rådatakommune[[#This Row],[Kvinner20-39-O]]/Rådatakommune[[#This Row],[B16-O]]</f>
        <v>0.10562913907284768</v>
      </c>
      <c r="S250" s="24">
        <f>Rådatakommune[[#This Row],[Eldre67+-O]]/Rådatakommune[[#This Row],[B16-O]]</f>
        <v>0.16192052980132451</v>
      </c>
      <c r="T250" s="24">
        <f>Rådatakommune[[#This Row],[S15-O]]/Rådatakommune[[#This Row],[S05-O]]-1</f>
        <v>-4.0567951318458695E-3</v>
      </c>
      <c r="U250" s="24">
        <f>Rådatakommune[[#This Row],[Y15-O]]/Rådatakommune[[#This Row],[Folk20-64-O]]</f>
        <v>0.95121951219512191</v>
      </c>
    </row>
    <row r="251" spans="1:21" x14ac:dyDescent="0.3">
      <c r="A251" s="2" t="s">
        <v>249</v>
      </c>
      <c r="B251" s="37">
        <v>11327</v>
      </c>
      <c r="C251" s="37">
        <v>12900</v>
      </c>
      <c r="D251" s="37">
        <v>7143</v>
      </c>
      <c r="E251" s="40">
        <v>1400</v>
      </c>
      <c r="F251" s="41">
        <v>1716</v>
      </c>
      <c r="G251">
        <v>7716</v>
      </c>
      <c r="H251" s="46">
        <v>8245</v>
      </c>
      <c r="I251" s="37">
        <v>9378</v>
      </c>
      <c r="J251" s="42">
        <v>552.95000000000005</v>
      </c>
      <c r="K251" s="5">
        <v>585.63</v>
      </c>
      <c r="L251" s="37">
        <v>424600</v>
      </c>
      <c r="M251" s="43">
        <v>169.38333333330002</v>
      </c>
      <c r="N251">
        <v>6</v>
      </c>
      <c r="O251" s="36">
        <f>Rådatakommune[[#This Row],[B16-O]]/Rådatakommune[[#This Row],[Landareal2016-O]]</f>
        <v>23.329414956144316</v>
      </c>
      <c r="P251" s="36">
        <f>Rådatakommune[[#This Row],[B16-O]]/Rådatakommune[[#This Row],[Totalareal2016-O]]</f>
        <v>22.027560063521335</v>
      </c>
      <c r="Q251" s="38">
        <f>Rådatakommune[[#This Row],[B16-O]]/Rådatakommune[[#This Row],[B06-O]]-1</f>
        <v>0.1388717224331244</v>
      </c>
      <c r="R251" s="24">
        <f>Rådatakommune[[#This Row],[Kvinner20-39-O]]/Rådatakommune[[#This Row],[B16-O]]</f>
        <v>0.13302325581395349</v>
      </c>
      <c r="S251" s="24">
        <f>Rådatakommune[[#This Row],[Eldre67+-O]]/Rådatakommune[[#This Row],[B16-O]]</f>
        <v>0.10852713178294573</v>
      </c>
      <c r="T251" s="24">
        <f>Rådatakommune[[#This Row],[S15-O]]/Rådatakommune[[#This Row],[S05-O]]-1</f>
        <v>0.13741661613098843</v>
      </c>
      <c r="U251" s="24">
        <f>Rådatakommune[[#This Row],[Y15-O]]/Rådatakommune[[#This Row],[Folk20-64-O]]</f>
        <v>0.92573872472783825</v>
      </c>
    </row>
    <row r="252" spans="1:21" x14ac:dyDescent="0.3">
      <c r="A252" s="2" t="s">
        <v>250</v>
      </c>
      <c r="B252" s="37">
        <v>2699</v>
      </c>
      <c r="C252" s="37">
        <v>2840</v>
      </c>
      <c r="D252" s="37">
        <v>1474</v>
      </c>
      <c r="E252" s="40">
        <v>458</v>
      </c>
      <c r="F252" s="41">
        <v>317</v>
      </c>
      <c r="G252">
        <v>1558</v>
      </c>
      <c r="H252" s="46">
        <v>658</v>
      </c>
      <c r="I252" s="37">
        <v>628</v>
      </c>
      <c r="J252" s="42">
        <v>355.49</v>
      </c>
      <c r="K252" s="5">
        <v>369.29</v>
      </c>
      <c r="L252" s="37">
        <v>382400</v>
      </c>
      <c r="M252" s="43">
        <v>179.63333333330002</v>
      </c>
      <c r="N252">
        <v>6</v>
      </c>
      <c r="O252" s="36">
        <f>Rådatakommune[[#This Row],[B16-O]]/Rådatakommune[[#This Row],[Landareal2016-O]]</f>
        <v>7.9889729668907705</v>
      </c>
      <c r="P252" s="36">
        <f>Rådatakommune[[#This Row],[B16-O]]/Rådatakommune[[#This Row],[Totalareal2016-O]]</f>
        <v>7.6904329930406989</v>
      </c>
      <c r="Q252" s="38">
        <f>Rådatakommune[[#This Row],[B16-O]]/Rådatakommune[[#This Row],[B06-O]]-1</f>
        <v>5.2241570952204608E-2</v>
      </c>
      <c r="R252" s="24">
        <f>Rådatakommune[[#This Row],[Kvinner20-39-O]]/Rådatakommune[[#This Row],[B16-O]]</f>
        <v>0.11161971830985916</v>
      </c>
      <c r="S252" s="24">
        <f>Rådatakommune[[#This Row],[Eldre67+-O]]/Rådatakommune[[#This Row],[B16-O]]</f>
        <v>0.16126760563380282</v>
      </c>
      <c r="T252" s="24">
        <f>Rådatakommune[[#This Row],[S15-O]]/Rådatakommune[[#This Row],[S05-O]]-1</f>
        <v>-4.5592705167173286E-2</v>
      </c>
      <c r="U252" s="24">
        <f>Rådatakommune[[#This Row],[Y15-O]]/Rådatakommune[[#This Row],[Folk20-64-O]]</f>
        <v>0.94608472400513477</v>
      </c>
    </row>
    <row r="253" spans="1:21" x14ac:dyDescent="0.3">
      <c r="A253" s="2" t="s">
        <v>251</v>
      </c>
      <c r="B253" s="37">
        <v>3968</v>
      </c>
      <c r="C253" s="37">
        <v>3846</v>
      </c>
      <c r="D253" s="37">
        <v>1780</v>
      </c>
      <c r="E253" s="40">
        <v>828</v>
      </c>
      <c r="F253" s="41">
        <v>341</v>
      </c>
      <c r="G253">
        <v>2014</v>
      </c>
      <c r="H253" s="46">
        <v>1608</v>
      </c>
      <c r="I253" s="37">
        <v>1550</v>
      </c>
      <c r="J253" s="42">
        <v>786.96</v>
      </c>
      <c r="K253" s="5">
        <v>832.82</v>
      </c>
      <c r="L253" s="37">
        <v>374300</v>
      </c>
      <c r="M253" s="43">
        <v>214.5666666667</v>
      </c>
      <c r="N253">
        <v>11</v>
      </c>
      <c r="O253" s="36">
        <f>Rådatakommune[[#This Row],[B16-O]]/Rådatakommune[[#This Row],[Landareal2016-O]]</f>
        <v>4.8871607197316251</v>
      </c>
      <c r="P253" s="36">
        <f>Rådatakommune[[#This Row],[B16-O]]/Rådatakommune[[#This Row],[Totalareal2016-O]]</f>
        <v>4.6180447155447757</v>
      </c>
      <c r="Q253" s="38">
        <f>Rådatakommune[[#This Row],[B16-O]]/Rådatakommune[[#This Row],[B06-O]]-1</f>
        <v>-3.0745967741935498E-2</v>
      </c>
      <c r="R253" s="24">
        <f>Rådatakommune[[#This Row],[Kvinner20-39-O]]/Rådatakommune[[#This Row],[B16-O]]</f>
        <v>8.8663546541861676E-2</v>
      </c>
      <c r="S253" s="24">
        <f>Rådatakommune[[#This Row],[Eldre67+-O]]/Rådatakommune[[#This Row],[B16-O]]</f>
        <v>0.21528861154446177</v>
      </c>
      <c r="T253" s="24">
        <f>Rådatakommune[[#This Row],[S15-O]]/Rådatakommune[[#This Row],[S05-O]]-1</f>
        <v>-3.6069651741293507E-2</v>
      </c>
      <c r="U253" s="24">
        <f>Rådatakommune[[#This Row],[Y15-O]]/Rådatakommune[[#This Row],[Folk20-64-O]]</f>
        <v>0.88381330685203574</v>
      </c>
    </row>
    <row r="254" spans="1:21" x14ac:dyDescent="0.3">
      <c r="A254" s="2" t="s">
        <v>252</v>
      </c>
      <c r="B254" s="37">
        <v>6123</v>
      </c>
      <c r="C254" s="37">
        <v>6046</v>
      </c>
      <c r="D254" s="37">
        <v>2952</v>
      </c>
      <c r="E254" s="40">
        <v>1052</v>
      </c>
      <c r="F254" s="41">
        <v>621</v>
      </c>
      <c r="G254">
        <v>3375</v>
      </c>
      <c r="H254" s="46">
        <v>2903</v>
      </c>
      <c r="I254" s="37">
        <v>2976</v>
      </c>
      <c r="J254" s="42">
        <v>171.32</v>
      </c>
      <c r="K254" s="5">
        <v>176.69</v>
      </c>
      <c r="L254" s="37">
        <v>390700</v>
      </c>
      <c r="M254" s="43">
        <v>218.63333333330002</v>
      </c>
      <c r="N254">
        <v>9</v>
      </c>
      <c r="O254" s="36">
        <f>Rådatakommune[[#This Row],[B16-O]]/Rådatakommune[[#This Row],[Landareal2016-O]]</f>
        <v>35.290684099929955</v>
      </c>
      <c r="P254" s="36">
        <f>Rådatakommune[[#This Row],[B16-O]]/Rådatakommune[[#This Row],[Totalareal2016-O]]</f>
        <v>34.218122134812383</v>
      </c>
      <c r="Q254" s="38">
        <f>Rådatakommune[[#This Row],[B16-O]]/Rådatakommune[[#This Row],[B06-O]]-1</f>
        <v>-1.2575534868528471E-2</v>
      </c>
      <c r="R254" s="24">
        <f>Rådatakommune[[#This Row],[Kvinner20-39-O]]/Rådatakommune[[#This Row],[B16-O]]</f>
        <v>0.1027125372146874</v>
      </c>
      <c r="S254" s="24">
        <f>Rådatakommune[[#This Row],[Eldre67+-O]]/Rådatakommune[[#This Row],[B16-O]]</f>
        <v>0.1739993384055574</v>
      </c>
      <c r="T254" s="24">
        <f>Rådatakommune[[#This Row],[S15-O]]/Rådatakommune[[#This Row],[S05-O]]-1</f>
        <v>2.5146400275577019E-2</v>
      </c>
      <c r="U254" s="24">
        <f>Rådatakommune[[#This Row],[Y15-O]]/Rådatakommune[[#This Row],[Folk20-64-O]]</f>
        <v>0.8746666666666667</v>
      </c>
    </row>
    <row r="255" spans="1:21" x14ac:dyDescent="0.3">
      <c r="A255" s="2" t="s">
        <v>253</v>
      </c>
      <c r="B255" s="37">
        <v>2958</v>
      </c>
      <c r="C255" s="37">
        <v>2774</v>
      </c>
      <c r="D255" s="37">
        <v>1393</v>
      </c>
      <c r="E255" s="40">
        <v>540</v>
      </c>
      <c r="F255" s="41">
        <v>266</v>
      </c>
      <c r="G255">
        <v>1511</v>
      </c>
      <c r="H255" s="46">
        <v>1122</v>
      </c>
      <c r="I255" s="37">
        <v>1146</v>
      </c>
      <c r="J255" s="42">
        <v>219.88</v>
      </c>
      <c r="K255" s="5">
        <v>226.12</v>
      </c>
      <c r="L255" s="37">
        <v>383600</v>
      </c>
      <c r="M255" s="43">
        <v>224.96666666670001</v>
      </c>
      <c r="N255">
        <v>9</v>
      </c>
      <c r="O255" s="36">
        <f>Rådatakommune[[#This Row],[B16-O]]/Rådatakommune[[#This Row],[Landareal2016-O]]</f>
        <v>12.615972348553758</v>
      </c>
      <c r="P255" s="36">
        <f>Rådatakommune[[#This Row],[B16-O]]/Rådatakommune[[#This Row],[Totalareal2016-O]]</f>
        <v>12.267822395188395</v>
      </c>
      <c r="Q255" s="38">
        <f>Rådatakommune[[#This Row],[B16-O]]/Rådatakommune[[#This Row],[B06-O]]-1</f>
        <v>-6.2204192021636295E-2</v>
      </c>
      <c r="R255" s="24">
        <f>Rådatakommune[[#This Row],[Kvinner20-39-O]]/Rådatakommune[[#This Row],[B16-O]]</f>
        <v>9.5890410958904104E-2</v>
      </c>
      <c r="S255" s="24">
        <f>Rådatakommune[[#This Row],[Eldre67+-O]]/Rådatakommune[[#This Row],[B16-O]]</f>
        <v>0.19466474405191059</v>
      </c>
      <c r="T255" s="24">
        <f>Rådatakommune[[#This Row],[S15-O]]/Rådatakommune[[#This Row],[S05-O]]-1</f>
        <v>2.1390374331550888E-2</v>
      </c>
      <c r="U255" s="24">
        <f>Rådatakommune[[#This Row],[Y15-O]]/Rådatakommune[[#This Row],[Folk20-64-O]]</f>
        <v>0.92190602250165454</v>
      </c>
    </row>
    <row r="256" spans="1:21" x14ac:dyDescent="0.3">
      <c r="A256" s="2" t="s">
        <v>254</v>
      </c>
      <c r="B256" s="37">
        <v>5801</v>
      </c>
      <c r="C256" s="37">
        <v>6015</v>
      </c>
      <c r="D256" s="37">
        <v>3057</v>
      </c>
      <c r="E256" s="40">
        <v>953</v>
      </c>
      <c r="F256" s="41">
        <v>659</v>
      </c>
      <c r="G256">
        <v>3338</v>
      </c>
      <c r="H256" s="46">
        <v>2777</v>
      </c>
      <c r="I256" s="37">
        <v>2832</v>
      </c>
      <c r="J256" s="42">
        <v>420.2</v>
      </c>
      <c r="K256" s="5">
        <v>469.21999999999997</v>
      </c>
      <c r="L256" s="37">
        <v>385000</v>
      </c>
      <c r="M256" s="43">
        <v>174.35</v>
      </c>
      <c r="N256">
        <v>8</v>
      </c>
      <c r="O256" s="36">
        <f>Rådatakommune[[#This Row],[B16-O]]/Rådatakommune[[#This Row],[Landareal2016-O]]</f>
        <v>14.3146120894812</v>
      </c>
      <c r="P256" s="36">
        <f>Rådatakommune[[#This Row],[B16-O]]/Rådatakommune[[#This Row],[Totalareal2016-O]]</f>
        <v>12.819146668939943</v>
      </c>
      <c r="Q256" s="38">
        <f>Rådatakommune[[#This Row],[B16-O]]/Rådatakommune[[#This Row],[B06-O]]-1</f>
        <v>3.6890191346319545E-2</v>
      </c>
      <c r="R256" s="24">
        <f>Rådatakommune[[#This Row],[Kvinner20-39-O]]/Rådatakommune[[#This Row],[B16-O]]</f>
        <v>0.10955943474646716</v>
      </c>
      <c r="S256" s="24">
        <f>Rådatakommune[[#This Row],[Eldre67+-O]]/Rådatakommune[[#This Row],[B16-O]]</f>
        <v>0.15843724023275146</v>
      </c>
      <c r="T256" s="24">
        <f>Rådatakommune[[#This Row],[S15-O]]/Rådatakommune[[#This Row],[S05-O]]-1</f>
        <v>1.9805545552754822E-2</v>
      </c>
      <c r="U256" s="24">
        <f>Rådatakommune[[#This Row],[Y15-O]]/Rådatakommune[[#This Row],[Folk20-64-O]]</f>
        <v>0.91581785500299584</v>
      </c>
    </row>
    <row r="257" spans="1:21" x14ac:dyDescent="0.3">
      <c r="A257" s="2" t="s">
        <v>255</v>
      </c>
      <c r="B257" s="37">
        <v>1206</v>
      </c>
      <c r="C257" s="37">
        <v>1200</v>
      </c>
      <c r="D257" s="37">
        <v>630</v>
      </c>
      <c r="E257" s="40">
        <v>214</v>
      </c>
      <c r="F257" s="41">
        <v>133</v>
      </c>
      <c r="G257">
        <v>646</v>
      </c>
      <c r="H257" s="46">
        <v>486</v>
      </c>
      <c r="I257" s="37">
        <v>422</v>
      </c>
      <c r="J257" s="42">
        <v>178.44</v>
      </c>
      <c r="K257" s="5">
        <v>191.6</v>
      </c>
      <c r="L257" s="37">
        <v>357400</v>
      </c>
      <c r="M257" s="43">
        <v>193.63333333330002</v>
      </c>
      <c r="N257">
        <v>8</v>
      </c>
      <c r="O257" s="36">
        <f>Rådatakommune[[#This Row],[B16-O]]/Rådatakommune[[#This Row],[Landareal2016-O]]</f>
        <v>6.7249495628782787</v>
      </c>
      <c r="P257" s="36">
        <f>Rådatakommune[[#This Row],[B16-O]]/Rådatakommune[[#This Row],[Totalareal2016-O]]</f>
        <v>6.2630480167014619</v>
      </c>
      <c r="Q257" s="38">
        <f>Rådatakommune[[#This Row],[B16-O]]/Rådatakommune[[#This Row],[B06-O]]-1</f>
        <v>-4.9751243781094301E-3</v>
      </c>
      <c r="R257" s="24">
        <f>Rådatakommune[[#This Row],[Kvinner20-39-O]]/Rådatakommune[[#This Row],[B16-O]]</f>
        <v>0.11083333333333334</v>
      </c>
      <c r="S257" s="24">
        <f>Rådatakommune[[#This Row],[Eldre67+-O]]/Rådatakommune[[#This Row],[B16-O]]</f>
        <v>0.17833333333333334</v>
      </c>
      <c r="T257" s="24">
        <f>Rådatakommune[[#This Row],[S15-O]]/Rådatakommune[[#This Row],[S05-O]]-1</f>
        <v>-0.13168724279835387</v>
      </c>
      <c r="U257" s="24">
        <f>Rådatakommune[[#This Row],[Y15-O]]/Rådatakommune[[#This Row],[Folk20-64-O]]</f>
        <v>0.97523219814241491</v>
      </c>
    </row>
    <row r="258" spans="1:21" x14ac:dyDescent="0.3">
      <c r="A258" s="2" t="s">
        <v>256</v>
      </c>
      <c r="B258" s="37">
        <v>5769</v>
      </c>
      <c r="C258" s="37">
        <v>5784</v>
      </c>
      <c r="D258" s="37">
        <v>2963</v>
      </c>
      <c r="E258" s="40">
        <v>1062</v>
      </c>
      <c r="F258" s="41">
        <v>598</v>
      </c>
      <c r="G258">
        <v>3069</v>
      </c>
      <c r="H258" s="46">
        <v>2726</v>
      </c>
      <c r="I258" s="37">
        <v>2698</v>
      </c>
      <c r="J258" s="42">
        <v>963.51</v>
      </c>
      <c r="K258" s="5">
        <v>1030.45</v>
      </c>
      <c r="L258" s="37">
        <v>378800</v>
      </c>
      <c r="M258" s="43">
        <v>165.96666666666999</v>
      </c>
      <c r="N258">
        <v>9</v>
      </c>
      <c r="O258" s="36">
        <f>Rådatakommune[[#This Row],[B16-O]]/Rådatakommune[[#This Row],[Landareal2016-O]]</f>
        <v>6.0030513435252359</v>
      </c>
      <c r="P258" s="36">
        <f>Rådatakommune[[#This Row],[B16-O]]/Rådatakommune[[#This Row],[Totalareal2016-O]]</f>
        <v>5.6130816633509628</v>
      </c>
      <c r="Q258" s="38">
        <f>Rådatakommune[[#This Row],[B16-O]]/Rådatakommune[[#This Row],[B06-O]]-1</f>
        <v>2.6001040041601087E-3</v>
      </c>
      <c r="R258" s="24">
        <f>Rådatakommune[[#This Row],[Kvinner20-39-O]]/Rådatakommune[[#This Row],[B16-O]]</f>
        <v>0.10338865836791147</v>
      </c>
      <c r="S258" s="24">
        <f>Rådatakommune[[#This Row],[Eldre67+-O]]/Rådatakommune[[#This Row],[B16-O]]</f>
        <v>0.18360995850622408</v>
      </c>
      <c r="T258" s="24">
        <f>Rådatakommune[[#This Row],[S15-O]]/Rådatakommune[[#This Row],[S05-O]]-1</f>
        <v>-1.0271460014673495E-2</v>
      </c>
      <c r="U258" s="24">
        <f>Rådatakommune[[#This Row],[Y15-O]]/Rådatakommune[[#This Row],[Folk20-64-O]]</f>
        <v>0.96546106223525574</v>
      </c>
    </row>
    <row r="259" spans="1:21" x14ac:dyDescent="0.3">
      <c r="A259" s="2" t="s">
        <v>257</v>
      </c>
      <c r="B259" s="37">
        <v>6779</v>
      </c>
      <c r="C259" s="37">
        <v>7168</v>
      </c>
      <c r="D259" s="37">
        <v>3784</v>
      </c>
      <c r="E259" s="40">
        <v>1160</v>
      </c>
      <c r="F259" s="41">
        <v>748</v>
      </c>
      <c r="G259">
        <v>3988</v>
      </c>
      <c r="H259" s="46">
        <v>3750</v>
      </c>
      <c r="I259" s="37">
        <v>3756</v>
      </c>
      <c r="J259" s="42">
        <v>1321.16</v>
      </c>
      <c r="K259" s="5">
        <v>1377.19</v>
      </c>
      <c r="L259" s="37">
        <v>368100</v>
      </c>
      <c r="M259" s="43">
        <v>202.6</v>
      </c>
      <c r="N259">
        <v>8</v>
      </c>
      <c r="O259" s="36">
        <f>Rådatakommune[[#This Row],[B16-O]]/Rådatakommune[[#This Row],[Landareal2016-O]]</f>
        <v>5.4255351357897599</v>
      </c>
      <c r="P259" s="36">
        <f>Rådatakommune[[#This Row],[B16-O]]/Rådatakommune[[#This Row],[Totalareal2016-O]]</f>
        <v>5.2048010804609381</v>
      </c>
      <c r="Q259" s="38">
        <f>Rådatakommune[[#This Row],[B16-O]]/Rådatakommune[[#This Row],[B06-O]]-1</f>
        <v>5.7383094851747973E-2</v>
      </c>
      <c r="R259" s="24">
        <f>Rådatakommune[[#This Row],[Kvinner20-39-O]]/Rådatakommune[[#This Row],[B16-O]]</f>
        <v>0.10435267857142858</v>
      </c>
      <c r="S259" s="24">
        <f>Rådatakommune[[#This Row],[Eldre67+-O]]/Rådatakommune[[#This Row],[B16-O]]</f>
        <v>0.16183035714285715</v>
      </c>
      <c r="T259" s="24">
        <f>Rådatakommune[[#This Row],[S15-O]]/Rådatakommune[[#This Row],[S05-O]]-1</f>
        <v>1.6000000000000458E-3</v>
      </c>
      <c r="U259" s="24">
        <f>Rådatakommune[[#This Row],[Y15-O]]/Rådatakommune[[#This Row],[Folk20-64-O]]</f>
        <v>0.94884653961885657</v>
      </c>
    </row>
    <row r="260" spans="1:21" x14ac:dyDescent="0.3">
      <c r="A260" s="2" t="s">
        <v>258</v>
      </c>
      <c r="B260" s="37">
        <v>24146</v>
      </c>
      <c r="C260" s="37">
        <v>26732</v>
      </c>
      <c r="D260" s="37">
        <v>13734</v>
      </c>
      <c r="E260" s="40">
        <v>4151</v>
      </c>
      <c r="F260" s="41">
        <v>3374</v>
      </c>
      <c r="G260">
        <v>15633</v>
      </c>
      <c r="H260" s="46">
        <v>14844</v>
      </c>
      <c r="I260" s="37">
        <v>17189</v>
      </c>
      <c r="J260" s="42">
        <v>355.49</v>
      </c>
      <c r="K260" s="5">
        <v>362.66</v>
      </c>
      <c r="L260" s="37">
        <v>425300</v>
      </c>
      <c r="M260" s="43">
        <v>156.03333333333001</v>
      </c>
      <c r="N260">
        <v>4</v>
      </c>
      <c r="O260" s="36">
        <f>Rådatakommune[[#This Row],[B16-O]]/Rådatakommune[[#This Row],[Landareal2016-O]]</f>
        <v>75.197614560184533</v>
      </c>
      <c r="P260" s="36">
        <f>Rådatakommune[[#This Row],[B16-O]]/Rådatakommune[[#This Row],[Totalareal2016-O]]</f>
        <v>73.710913803562562</v>
      </c>
      <c r="Q260" s="38">
        <f>Rådatakommune[[#This Row],[B16-O]]/Rådatakommune[[#This Row],[B06-O]]-1</f>
        <v>0.107098484220989</v>
      </c>
      <c r="R260" s="24">
        <f>Rådatakommune[[#This Row],[Kvinner20-39-O]]/Rådatakommune[[#This Row],[B16-O]]</f>
        <v>0.12621577136016759</v>
      </c>
      <c r="S260" s="24">
        <f>Rådatakommune[[#This Row],[Eldre67+-O]]/Rådatakommune[[#This Row],[B16-O]]</f>
        <v>0.15528205895555888</v>
      </c>
      <c r="T260" s="24">
        <f>Rådatakommune[[#This Row],[S15-O]]/Rådatakommune[[#This Row],[S05-O]]-1</f>
        <v>0.15797628671517105</v>
      </c>
      <c r="U260" s="24">
        <f>Rådatakommune[[#This Row],[Y15-O]]/Rådatakommune[[#This Row],[Folk20-64-O]]</f>
        <v>0.87852619458837078</v>
      </c>
    </row>
    <row r="261" spans="1:21" x14ac:dyDescent="0.3">
      <c r="A261" s="2" t="s">
        <v>259</v>
      </c>
      <c r="B261" s="37">
        <v>40801</v>
      </c>
      <c r="C261" s="37">
        <v>46747</v>
      </c>
      <c r="D261" s="37">
        <v>24065</v>
      </c>
      <c r="E261" s="40">
        <v>6380</v>
      </c>
      <c r="F261" s="41">
        <v>6194</v>
      </c>
      <c r="G261">
        <v>28088</v>
      </c>
      <c r="H261" s="46">
        <v>23653</v>
      </c>
      <c r="I261" s="37">
        <v>27505</v>
      </c>
      <c r="J261" s="42">
        <v>93.17</v>
      </c>
      <c r="K261" s="5">
        <v>98.62</v>
      </c>
      <c r="L261" s="37">
        <v>426600</v>
      </c>
      <c r="M261" s="43">
        <v>169.5</v>
      </c>
      <c r="N261">
        <v>4</v>
      </c>
      <c r="O261" s="36">
        <f>Rådatakommune[[#This Row],[B16-O]]/Rådatakommune[[#This Row],[Landareal2016-O]]</f>
        <v>501.7387571106579</v>
      </c>
      <c r="P261" s="36">
        <f>Rådatakommune[[#This Row],[B16-O]]/Rådatakommune[[#This Row],[Totalareal2016-O]]</f>
        <v>474.01135672277428</v>
      </c>
      <c r="Q261" s="38">
        <f>Rådatakommune[[#This Row],[B16-O]]/Rådatakommune[[#This Row],[B06-O]]-1</f>
        <v>0.14573172226170916</v>
      </c>
      <c r="R261" s="24">
        <f>Rådatakommune[[#This Row],[Kvinner20-39-O]]/Rådatakommune[[#This Row],[B16-O]]</f>
        <v>0.13250048131430894</v>
      </c>
      <c r="S261" s="24">
        <f>Rådatakommune[[#This Row],[Eldre67+-O]]/Rådatakommune[[#This Row],[B16-O]]</f>
        <v>0.13647934626820973</v>
      </c>
      <c r="T261" s="24">
        <f>Rådatakommune[[#This Row],[S15-O]]/Rådatakommune[[#This Row],[S05-O]]-1</f>
        <v>0.16285460618103409</v>
      </c>
      <c r="U261" s="24">
        <f>Rådatakommune[[#This Row],[Y15-O]]/Rådatakommune[[#This Row],[Folk20-64-O]]</f>
        <v>0.85677157504984336</v>
      </c>
    </row>
    <row r="262" spans="1:21" x14ac:dyDescent="0.3">
      <c r="A262" s="2" t="s">
        <v>260</v>
      </c>
      <c r="B262" s="37">
        <v>22447</v>
      </c>
      <c r="C262" s="37">
        <v>24526</v>
      </c>
      <c r="D262" s="37">
        <v>11623</v>
      </c>
      <c r="E262" s="40">
        <v>3768</v>
      </c>
      <c r="F262" s="41">
        <v>2897</v>
      </c>
      <c r="G262">
        <v>14429</v>
      </c>
      <c r="H262" s="46">
        <v>10394</v>
      </c>
      <c r="I262" s="37">
        <v>11666</v>
      </c>
      <c r="J262" s="42">
        <v>86.14</v>
      </c>
      <c r="K262" s="5">
        <v>87.38</v>
      </c>
      <c r="L262" s="37">
        <v>410900</v>
      </c>
      <c r="M262" s="43">
        <v>163.16666666666998</v>
      </c>
      <c r="N262">
        <v>5</v>
      </c>
      <c r="O262" s="36">
        <f>Rådatakommune[[#This Row],[B16-O]]/Rådatakommune[[#This Row],[Landareal2016-O]]</f>
        <v>284.72254469468305</v>
      </c>
      <c r="P262" s="36">
        <f>Rådatakommune[[#This Row],[B16-O]]/Rådatakommune[[#This Row],[Totalareal2016-O]]</f>
        <v>280.68207827878234</v>
      </c>
      <c r="Q262" s="38">
        <f>Rådatakommune[[#This Row],[B16-O]]/Rådatakommune[[#This Row],[B06-O]]-1</f>
        <v>9.2618167238383675E-2</v>
      </c>
      <c r="R262" s="24">
        <f>Rådatakommune[[#This Row],[Kvinner20-39-O]]/Rådatakommune[[#This Row],[B16-O]]</f>
        <v>0.11811954660360434</v>
      </c>
      <c r="S262" s="24">
        <f>Rådatakommune[[#This Row],[Eldre67+-O]]/Rådatakommune[[#This Row],[B16-O]]</f>
        <v>0.15363287939329692</v>
      </c>
      <c r="T262" s="24">
        <f>Rådatakommune[[#This Row],[S15-O]]/Rådatakommune[[#This Row],[S05-O]]-1</f>
        <v>0.12237829517029053</v>
      </c>
      <c r="U262" s="24">
        <f>Rådatakommune[[#This Row],[Y15-O]]/Rådatakommune[[#This Row],[Folk20-64-O]]</f>
        <v>0.80553052879617437</v>
      </c>
    </row>
    <row r="263" spans="1:21" x14ac:dyDescent="0.3">
      <c r="A263" s="2" t="s">
        <v>261</v>
      </c>
      <c r="B263" s="37">
        <v>3589</v>
      </c>
      <c r="C263" s="37">
        <v>3256</v>
      </c>
      <c r="D263" s="37">
        <v>1564</v>
      </c>
      <c r="E263" s="40">
        <v>727</v>
      </c>
      <c r="F263" s="41">
        <v>288</v>
      </c>
      <c r="G263">
        <v>1731</v>
      </c>
      <c r="H263" s="46">
        <v>1369</v>
      </c>
      <c r="I263" s="37">
        <v>1288</v>
      </c>
      <c r="J263" s="42">
        <v>365.28</v>
      </c>
      <c r="K263" s="5">
        <v>385.21</v>
      </c>
      <c r="L263" s="37">
        <v>385900</v>
      </c>
      <c r="M263" s="43">
        <v>221.65</v>
      </c>
      <c r="N263">
        <v>11</v>
      </c>
      <c r="O263" s="36">
        <f>Rådatakommune[[#This Row],[B16-O]]/Rådatakommune[[#This Row],[Landareal2016-O]]</f>
        <v>8.9137100306614112</v>
      </c>
      <c r="P263" s="36">
        <f>Rådatakommune[[#This Row],[B16-O]]/Rådatakommune[[#This Row],[Totalareal2016-O]]</f>
        <v>8.4525323849328942</v>
      </c>
      <c r="Q263" s="38">
        <f>Rådatakommune[[#This Row],[B16-O]]/Rådatakommune[[#This Row],[B06-O]]-1</f>
        <v>-9.2783505154639179E-2</v>
      </c>
      <c r="R263" s="24">
        <f>Rådatakommune[[#This Row],[Kvinner20-39-O]]/Rådatakommune[[#This Row],[B16-O]]</f>
        <v>8.8452088452088448E-2</v>
      </c>
      <c r="S263" s="24">
        <f>Rådatakommune[[#This Row],[Eldre67+-O]]/Rådatakommune[[#This Row],[B16-O]]</f>
        <v>0.22328009828009829</v>
      </c>
      <c r="T263" s="24">
        <f>Rådatakommune[[#This Row],[S15-O]]/Rådatakommune[[#This Row],[S05-O]]-1</f>
        <v>-5.9167275383491647E-2</v>
      </c>
      <c r="U263" s="24">
        <f>Rådatakommune[[#This Row],[Y15-O]]/Rådatakommune[[#This Row],[Folk20-64-O]]</f>
        <v>0.90352397458116696</v>
      </c>
    </row>
    <row r="264" spans="1:21" x14ac:dyDescent="0.3">
      <c r="A264" s="2" t="s">
        <v>262</v>
      </c>
      <c r="B264" s="37">
        <v>2539</v>
      </c>
      <c r="C264" s="37">
        <v>2559</v>
      </c>
      <c r="D264" s="37">
        <v>1302</v>
      </c>
      <c r="E264" s="40">
        <v>497</v>
      </c>
      <c r="F264" s="41">
        <v>244</v>
      </c>
      <c r="G264">
        <v>1445</v>
      </c>
      <c r="H264" s="46">
        <v>1165</v>
      </c>
      <c r="I264" s="37">
        <v>1188</v>
      </c>
      <c r="J264" s="42">
        <v>90.17</v>
      </c>
      <c r="K264" s="5">
        <v>93.210000000000008</v>
      </c>
      <c r="L264" s="37">
        <v>387600</v>
      </c>
      <c r="M264" s="43">
        <v>195.71666666670001</v>
      </c>
      <c r="N264">
        <v>6</v>
      </c>
      <c r="O264" s="36">
        <f>Rådatakommune[[#This Row],[B16-O]]/Rådatakommune[[#This Row],[Landareal2016-O]]</f>
        <v>28.379727181989576</v>
      </c>
      <c r="P264" s="36">
        <f>Rådatakommune[[#This Row],[B16-O]]/Rådatakommune[[#This Row],[Totalareal2016-O]]</f>
        <v>27.454135822336657</v>
      </c>
      <c r="Q264" s="38">
        <f>Rådatakommune[[#This Row],[B16-O]]/Rådatakommune[[#This Row],[B06-O]]-1</f>
        <v>7.877116975187004E-3</v>
      </c>
      <c r="R264" s="24">
        <f>Rådatakommune[[#This Row],[Kvinner20-39-O]]/Rådatakommune[[#This Row],[B16-O]]</f>
        <v>9.5349745994529111E-2</v>
      </c>
      <c r="S264" s="24">
        <f>Rådatakommune[[#This Row],[Eldre67+-O]]/Rådatakommune[[#This Row],[B16-O]]</f>
        <v>0.19421649081672529</v>
      </c>
      <c r="T264" s="24">
        <f>Rådatakommune[[#This Row],[S15-O]]/Rådatakommune[[#This Row],[S05-O]]-1</f>
        <v>1.9742489270386354E-2</v>
      </c>
      <c r="U264" s="24">
        <f>Rådatakommune[[#This Row],[Y15-O]]/Rådatakommune[[#This Row],[Folk20-64-O]]</f>
        <v>0.90103806228373706</v>
      </c>
    </row>
    <row r="265" spans="1:21" x14ac:dyDescent="0.3">
      <c r="A265" s="2" t="s">
        <v>263</v>
      </c>
      <c r="B265" s="37">
        <v>8373</v>
      </c>
      <c r="C265" s="37">
        <v>8972</v>
      </c>
      <c r="D265" s="37">
        <v>4415</v>
      </c>
      <c r="E265" s="40">
        <v>1419</v>
      </c>
      <c r="F265" s="41">
        <v>1000</v>
      </c>
      <c r="G265">
        <v>5084</v>
      </c>
      <c r="H265" s="46">
        <v>3562</v>
      </c>
      <c r="I265" s="37">
        <v>3995</v>
      </c>
      <c r="J265" s="42">
        <v>118.01</v>
      </c>
      <c r="K265" s="5">
        <v>119.52000000000001</v>
      </c>
      <c r="L265" s="37">
        <v>434000</v>
      </c>
      <c r="M265" s="43">
        <v>196.48333333330001</v>
      </c>
      <c r="N265">
        <v>6</v>
      </c>
      <c r="O265" s="36">
        <f>Rådatakommune[[#This Row],[B16-O]]/Rådatakommune[[#This Row],[Landareal2016-O]]</f>
        <v>76.027455300398273</v>
      </c>
      <c r="P265" s="36">
        <f>Rådatakommune[[#This Row],[B16-O]]/Rådatakommune[[#This Row],[Totalareal2016-O]]</f>
        <v>75.066934404283799</v>
      </c>
      <c r="Q265" s="38">
        <f>Rådatakommune[[#This Row],[B16-O]]/Rådatakommune[[#This Row],[B06-O]]-1</f>
        <v>7.1539472112743363E-2</v>
      </c>
      <c r="R265" s="24">
        <f>Rådatakommune[[#This Row],[Kvinner20-39-O]]/Rådatakommune[[#This Row],[B16-O]]</f>
        <v>0.11145786892554614</v>
      </c>
      <c r="S265" s="24">
        <f>Rådatakommune[[#This Row],[Eldre67+-O]]/Rådatakommune[[#This Row],[B16-O]]</f>
        <v>0.15815871600534998</v>
      </c>
      <c r="T265" s="24">
        <f>Rådatakommune[[#This Row],[S15-O]]/Rådatakommune[[#This Row],[S05-O]]-1</f>
        <v>0.12156092083099379</v>
      </c>
      <c r="U265" s="24">
        <f>Rådatakommune[[#This Row],[Y15-O]]/Rådatakommune[[#This Row],[Folk20-64-O]]</f>
        <v>0.86841070023603462</v>
      </c>
    </row>
    <row r="266" spans="1:21" x14ac:dyDescent="0.3">
      <c r="A266" s="2" t="s">
        <v>264</v>
      </c>
      <c r="B266" s="37">
        <v>6813</v>
      </c>
      <c r="C266" s="37">
        <v>8430</v>
      </c>
      <c r="D266" s="37">
        <v>4242</v>
      </c>
      <c r="E266" s="40">
        <v>1058</v>
      </c>
      <c r="F266" s="41">
        <v>953</v>
      </c>
      <c r="G266">
        <v>4917</v>
      </c>
      <c r="H266" s="46">
        <v>3768</v>
      </c>
      <c r="I266" s="37">
        <v>5320</v>
      </c>
      <c r="J266" s="42">
        <v>94.87</v>
      </c>
      <c r="K266" s="5">
        <v>97.19</v>
      </c>
      <c r="L266" s="37">
        <v>447900</v>
      </c>
      <c r="M266" s="43">
        <v>184.05</v>
      </c>
      <c r="N266">
        <v>5</v>
      </c>
      <c r="O266" s="36">
        <f>Rådatakommune[[#This Row],[B16-O]]/Rådatakommune[[#This Row],[Landareal2016-O]]</f>
        <v>88.858437862337937</v>
      </c>
      <c r="P266" s="36">
        <f>Rådatakommune[[#This Row],[B16-O]]/Rådatakommune[[#This Row],[Totalareal2016-O]]</f>
        <v>86.737318654182531</v>
      </c>
      <c r="Q266" s="38">
        <f>Rådatakommune[[#This Row],[B16-O]]/Rådatakommune[[#This Row],[B06-O]]-1</f>
        <v>0.23734037868780278</v>
      </c>
      <c r="R266" s="24">
        <f>Rådatakommune[[#This Row],[Kvinner20-39-O]]/Rådatakommune[[#This Row],[B16-O]]</f>
        <v>0.11304863582443654</v>
      </c>
      <c r="S266" s="24">
        <f>Rådatakommune[[#This Row],[Eldre67+-O]]/Rådatakommune[[#This Row],[B16-O]]</f>
        <v>0.12550415183867142</v>
      </c>
      <c r="T266" s="24">
        <f>Rådatakommune[[#This Row],[S15-O]]/Rådatakommune[[#This Row],[S05-O]]-1</f>
        <v>0.41188959660297231</v>
      </c>
      <c r="U266" s="24">
        <f>Rådatakommune[[#This Row],[Y15-O]]/Rådatakommune[[#This Row],[Folk20-64-O]]</f>
        <v>0.86272117144600369</v>
      </c>
    </row>
    <row r="267" spans="1:21" x14ac:dyDescent="0.3">
      <c r="A267" s="2" t="s">
        <v>265</v>
      </c>
      <c r="B267" s="37">
        <v>4637</v>
      </c>
      <c r="C267" s="37">
        <v>5189</v>
      </c>
      <c r="D267" s="37">
        <v>2527</v>
      </c>
      <c r="E267" s="40">
        <v>767</v>
      </c>
      <c r="F267" s="41">
        <v>637</v>
      </c>
      <c r="G267">
        <v>2957</v>
      </c>
      <c r="H267" s="46">
        <v>1887</v>
      </c>
      <c r="I267" s="37">
        <v>2017</v>
      </c>
      <c r="J267" s="42">
        <v>76.8</v>
      </c>
      <c r="K267" s="5">
        <v>82.25</v>
      </c>
      <c r="L267" s="37">
        <v>407100</v>
      </c>
      <c r="M267" s="43">
        <v>191.6833333333</v>
      </c>
      <c r="N267">
        <v>5</v>
      </c>
      <c r="O267" s="36">
        <f>Rådatakommune[[#This Row],[B16-O]]/Rådatakommune[[#This Row],[Landareal2016-O]]</f>
        <v>67.565104166666671</v>
      </c>
      <c r="P267" s="36">
        <f>Rådatakommune[[#This Row],[B16-O]]/Rådatakommune[[#This Row],[Totalareal2016-O]]</f>
        <v>63.088145896656535</v>
      </c>
      <c r="Q267" s="38">
        <f>Rådatakommune[[#This Row],[B16-O]]/Rådatakommune[[#This Row],[B06-O]]-1</f>
        <v>0.11904248436489118</v>
      </c>
      <c r="R267" s="24">
        <f>Rådatakommune[[#This Row],[Kvinner20-39-O]]/Rådatakommune[[#This Row],[B16-O]]</f>
        <v>0.12275968394681055</v>
      </c>
      <c r="S267" s="24">
        <f>Rådatakommune[[#This Row],[Eldre67+-O]]/Rådatakommune[[#This Row],[B16-O]]</f>
        <v>0.14781268067064945</v>
      </c>
      <c r="T267" s="24">
        <f>Rådatakommune[[#This Row],[S15-O]]/Rådatakommune[[#This Row],[S05-O]]-1</f>
        <v>6.8892421833598227E-2</v>
      </c>
      <c r="U267" s="24">
        <f>Rådatakommune[[#This Row],[Y15-O]]/Rådatakommune[[#This Row],[Folk20-64-O]]</f>
        <v>0.85458234697328372</v>
      </c>
    </row>
    <row r="268" spans="1:21" x14ac:dyDescent="0.3">
      <c r="A268" s="2" t="s">
        <v>266</v>
      </c>
      <c r="B268" s="37">
        <v>8322</v>
      </c>
      <c r="C268" s="37">
        <v>9037</v>
      </c>
      <c r="D268" s="37">
        <v>4352</v>
      </c>
      <c r="E268" s="40">
        <v>1431</v>
      </c>
      <c r="F268" s="41">
        <v>1153</v>
      </c>
      <c r="G268">
        <v>5182</v>
      </c>
      <c r="H268" s="46">
        <v>3888</v>
      </c>
      <c r="I268" s="37">
        <v>4462</v>
      </c>
      <c r="J268" s="42">
        <v>524.57000000000005</v>
      </c>
      <c r="K268" s="5">
        <v>547.22</v>
      </c>
      <c r="L268" s="37">
        <v>375600</v>
      </c>
      <c r="M268" s="43">
        <v>166.73333333332999</v>
      </c>
      <c r="N268">
        <v>6</v>
      </c>
      <c r="O268" s="36">
        <f>Rådatakommune[[#This Row],[B16-O]]/Rådatakommune[[#This Row],[Landareal2016-O]]</f>
        <v>17.227443429856834</v>
      </c>
      <c r="P268" s="36">
        <f>Rådatakommune[[#This Row],[B16-O]]/Rådatakommune[[#This Row],[Totalareal2016-O]]</f>
        <v>16.514381784291508</v>
      </c>
      <c r="Q268" s="38">
        <f>Rådatakommune[[#This Row],[B16-O]]/Rådatakommune[[#This Row],[B06-O]]-1</f>
        <v>8.5916846911800127E-2</v>
      </c>
      <c r="R268" s="24">
        <f>Rådatakommune[[#This Row],[Kvinner20-39-O]]/Rådatakommune[[#This Row],[B16-O]]</f>
        <v>0.12758658846962487</v>
      </c>
      <c r="S268" s="24">
        <f>Rådatakommune[[#This Row],[Eldre67+-O]]/Rådatakommune[[#This Row],[B16-O]]</f>
        <v>0.15834900962708864</v>
      </c>
      <c r="T268" s="24">
        <f>Rådatakommune[[#This Row],[S15-O]]/Rådatakommune[[#This Row],[S05-O]]-1</f>
        <v>0.14763374485596703</v>
      </c>
      <c r="U268" s="24">
        <f>Rådatakommune[[#This Row],[Y15-O]]/Rådatakommune[[#This Row],[Folk20-64-O]]</f>
        <v>0.83983018139714394</v>
      </c>
    </row>
    <row r="269" spans="1:21" x14ac:dyDescent="0.3">
      <c r="A269" s="2" t="s">
        <v>267</v>
      </c>
      <c r="B269" s="37">
        <v>10257</v>
      </c>
      <c r="C269" s="37">
        <v>10677</v>
      </c>
      <c r="D269" s="37">
        <v>5344</v>
      </c>
      <c r="E269" s="40">
        <v>1774</v>
      </c>
      <c r="F269" s="41">
        <v>1210</v>
      </c>
      <c r="G269">
        <v>5977</v>
      </c>
      <c r="H269" s="46">
        <v>4308</v>
      </c>
      <c r="I269" s="37">
        <v>4560</v>
      </c>
      <c r="J269" s="42">
        <v>785.03</v>
      </c>
      <c r="K269" s="5">
        <v>804.43</v>
      </c>
      <c r="L269" s="37">
        <v>396100</v>
      </c>
      <c r="M269" s="43">
        <v>164.25</v>
      </c>
      <c r="N269">
        <v>6</v>
      </c>
      <c r="O269" s="36">
        <f>Rådatakommune[[#This Row],[B16-O]]/Rådatakommune[[#This Row],[Landareal2016-O]]</f>
        <v>13.600754111307849</v>
      </c>
      <c r="P269" s="36">
        <f>Rådatakommune[[#This Row],[B16-O]]/Rådatakommune[[#This Row],[Totalareal2016-O]]</f>
        <v>13.27275213505215</v>
      </c>
      <c r="Q269" s="38">
        <f>Rådatakommune[[#This Row],[B16-O]]/Rådatakommune[[#This Row],[B06-O]]-1</f>
        <v>4.0947645510383213E-2</v>
      </c>
      <c r="R269" s="24">
        <f>Rådatakommune[[#This Row],[Kvinner20-39-O]]/Rådatakommune[[#This Row],[B16-O]]</f>
        <v>0.11332771377727827</v>
      </c>
      <c r="S269" s="24">
        <f>Rådatakommune[[#This Row],[Eldre67+-O]]/Rådatakommune[[#This Row],[B16-O]]</f>
        <v>0.16615154069495178</v>
      </c>
      <c r="T269" s="24">
        <f>Rådatakommune[[#This Row],[S15-O]]/Rådatakommune[[#This Row],[S05-O]]-1</f>
        <v>5.8495821727019504E-2</v>
      </c>
      <c r="U269" s="24">
        <f>Rådatakommune[[#This Row],[Y15-O]]/Rådatakommune[[#This Row],[Folk20-64-O]]</f>
        <v>0.89409402710389829</v>
      </c>
    </row>
    <row r="270" spans="1:21" x14ac:dyDescent="0.3">
      <c r="A270" s="2" t="s">
        <v>268</v>
      </c>
      <c r="B270" s="37">
        <v>2093</v>
      </c>
      <c r="C270" s="37">
        <v>2310</v>
      </c>
      <c r="D270" s="37">
        <v>1177</v>
      </c>
      <c r="E270" s="40">
        <v>372</v>
      </c>
      <c r="F270" s="41">
        <v>264</v>
      </c>
      <c r="G270">
        <v>1303</v>
      </c>
      <c r="H270" s="46">
        <v>882</v>
      </c>
      <c r="I270" s="37">
        <v>955</v>
      </c>
      <c r="J270" s="42">
        <v>128.91</v>
      </c>
      <c r="K270" s="5">
        <v>132.35999999999999</v>
      </c>
      <c r="L270" s="37">
        <v>403000</v>
      </c>
      <c r="M270" s="43">
        <v>198.5833333333</v>
      </c>
      <c r="N270">
        <v>4</v>
      </c>
      <c r="O270" s="36">
        <f>Rådatakommune[[#This Row],[B16-O]]/Rådatakommune[[#This Row],[Landareal2016-O]]</f>
        <v>17.919478706074006</v>
      </c>
      <c r="P270" s="36">
        <f>Rådatakommune[[#This Row],[B16-O]]/Rådatakommune[[#This Row],[Totalareal2016-O]]</f>
        <v>17.452402538531281</v>
      </c>
      <c r="Q270" s="38">
        <f>Rådatakommune[[#This Row],[B16-O]]/Rådatakommune[[#This Row],[B06-O]]-1</f>
        <v>0.10367892976588622</v>
      </c>
      <c r="R270" s="24">
        <f>Rådatakommune[[#This Row],[Kvinner20-39-O]]/Rådatakommune[[#This Row],[B16-O]]</f>
        <v>0.11428571428571428</v>
      </c>
      <c r="S270" s="24">
        <f>Rådatakommune[[#This Row],[Eldre67+-O]]/Rådatakommune[[#This Row],[B16-O]]</f>
        <v>0.16103896103896104</v>
      </c>
      <c r="T270" s="24">
        <f>Rådatakommune[[#This Row],[S15-O]]/Rådatakommune[[#This Row],[S05-O]]-1</f>
        <v>8.2766439909297107E-2</v>
      </c>
      <c r="U270" s="24">
        <f>Rådatakommune[[#This Row],[Y15-O]]/Rådatakommune[[#This Row],[Folk20-64-O]]</f>
        <v>0.90330007674597079</v>
      </c>
    </row>
    <row r="271" spans="1:21" x14ac:dyDescent="0.3">
      <c r="A271" s="2" t="s">
        <v>269</v>
      </c>
      <c r="B271" s="37">
        <v>1808</v>
      </c>
      <c r="C271" s="37">
        <v>1652</v>
      </c>
      <c r="D271" s="37">
        <v>834</v>
      </c>
      <c r="E271" s="40">
        <v>335</v>
      </c>
      <c r="F271" s="41">
        <v>148</v>
      </c>
      <c r="G271">
        <v>861</v>
      </c>
      <c r="H271" s="46">
        <v>863</v>
      </c>
      <c r="I271" s="37">
        <v>785</v>
      </c>
      <c r="J271" s="42">
        <v>900.48</v>
      </c>
      <c r="K271" s="5">
        <v>943.52</v>
      </c>
      <c r="L271" s="37">
        <v>371700</v>
      </c>
      <c r="M271" s="43">
        <v>235.96666666670001</v>
      </c>
      <c r="N271">
        <v>9</v>
      </c>
      <c r="O271" s="36">
        <f>Rådatakommune[[#This Row],[B16-O]]/Rådatakommune[[#This Row],[Landareal2016-O]]</f>
        <v>1.8345771144278606</v>
      </c>
      <c r="P271" s="36">
        <f>Rådatakommune[[#This Row],[B16-O]]/Rådatakommune[[#This Row],[Totalareal2016-O]]</f>
        <v>1.750890283194845</v>
      </c>
      <c r="Q271" s="38">
        <f>Rådatakommune[[#This Row],[B16-O]]/Rådatakommune[[#This Row],[B06-O]]-1</f>
        <v>-8.6283185840707932E-2</v>
      </c>
      <c r="R271" s="24">
        <f>Rådatakommune[[#This Row],[Kvinner20-39-O]]/Rådatakommune[[#This Row],[B16-O]]</f>
        <v>8.9588377723970949E-2</v>
      </c>
      <c r="S271" s="24">
        <f>Rådatakommune[[#This Row],[Eldre67+-O]]/Rådatakommune[[#This Row],[B16-O]]</f>
        <v>0.20278450363196127</v>
      </c>
      <c r="T271" s="24">
        <f>Rådatakommune[[#This Row],[S15-O]]/Rådatakommune[[#This Row],[S05-O]]-1</f>
        <v>-9.0382387022016175E-2</v>
      </c>
      <c r="U271" s="24">
        <f>Rådatakommune[[#This Row],[Y15-O]]/Rådatakommune[[#This Row],[Folk20-64-O]]</f>
        <v>0.96864111498257843</v>
      </c>
    </row>
    <row r="272" spans="1:21" x14ac:dyDescent="0.3">
      <c r="A272" s="2" t="s">
        <v>270</v>
      </c>
      <c r="B272" s="37">
        <v>4544</v>
      </c>
      <c r="C272" s="37">
        <v>4598</v>
      </c>
      <c r="D272" s="37">
        <v>2416</v>
      </c>
      <c r="E272" s="40">
        <v>891</v>
      </c>
      <c r="F272" s="41">
        <v>523</v>
      </c>
      <c r="G272">
        <v>2543</v>
      </c>
      <c r="H272" s="46">
        <v>2456</v>
      </c>
      <c r="I272" s="37">
        <v>2392</v>
      </c>
      <c r="J272" s="42">
        <v>844.65</v>
      </c>
      <c r="K272" s="5">
        <v>865.86</v>
      </c>
      <c r="L272" s="37">
        <v>378200</v>
      </c>
      <c r="M272" s="43">
        <v>230.9166666667</v>
      </c>
      <c r="N272">
        <v>5</v>
      </c>
      <c r="O272" s="36">
        <f>Rådatakommune[[#This Row],[B16-O]]/Rådatakommune[[#This Row],[Landareal2016-O]]</f>
        <v>5.4436748949268932</v>
      </c>
      <c r="P272" s="36">
        <f>Rådatakommune[[#This Row],[B16-O]]/Rådatakommune[[#This Row],[Totalareal2016-O]]</f>
        <v>5.3103273046450923</v>
      </c>
      <c r="Q272" s="38">
        <f>Rådatakommune[[#This Row],[B16-O]]/Rådatakommune[[#This Row],[B06-O]]-1</f>
        <v>1.188380281690149E-2</v>
      </c>
      <c r="R272" s="24">
        <f>Rådatakommune[[#This Row],[Kvinner20-39-O]]/Rådatakommune[[#This Row],[B16-O]]</f>
        <v>0.11374510656807307</v>
      </c>
      <c r="S272" s="24">
        <f>Rådatakommune[[#This Row],[Eldre67+-O]]/Rådatakommune[[#This Row],[B16-O]]</f>
        <v>0.19377990430622011</v>
      </c>
      <c r="T272" s="24">
        <f>Rådatakommune[[#This Row],[S15-O]]/Rådatakommune[[#This Row],[S05-O]]-1</f>
        <v>-2.6058631921824116E-2</v>
      </c>
      <c r="U272" s="24">
        <f>Rådatakommune[[#This Row],[Y15-O]]/Rådatakommune[[#This Row],[Folk20-64-O]]</f>
        <v>0.95005898545025558</v>
      </c>
    </row>
    <row r="273" spans="1:21" x14ac:dyDescent="0.3">
      <c r="A273" s="2" t="s">
        <v>271</v>
      </c>
      <c r="B273" s="37">
        <v>996</v>
      </c>
      <c r="C273" s="37">
        <v>1020</v>
      </c>
      <c r="D273" s="37">
        <v>490</v>
      </c>
      <c r="E273" s="40">
        <v>172</v>
      </c>
      <c r="F273" s="41">
        <v>91</v>
      </c>
      <c r="G273">
        <v>552</v>
      </c>
      <c r="H273" s="46">
        <v>624</v>
      </c>
      <c r="I273" s="37">
        <v>459</v>
      </c>
      <c r="J273" s="42">
        <v>243.63</v>
      </c>
      <c r="K273" s="5">
        <v>247.07</v>
      </c>
      <c r="L273" s="37">
        <v>345800</v>
      </c>
      <c r="M273" s="43">
        <v>214.76666666669999</v>
      </c>
      <c r="N273">
        <v>4</v>
      </c>
      <c r="O273" s="36">
        <f>Rådatakommune[[#This Row],[B16-O]]/Rådatakommune[[#This Row],[Landareal2016-O]]</f>
        <v>4.1866765176702376</v>
      </c>
      <c r="P273" s="36">
        <f>Rådatakommune[[#This Row],[B16-O]]/Rådatakommune[[#This Row],[Totalareal2016-O]]</f>
        <v>4.1283846683126244</v>
      </c>
      <c r="Q273" s="38">
        <f>Rådatakommune[[#This Row],[B16-O]]/Rådatakommune[[#This Row],[B06-O]]-1</f>
        <v>2.4096385542168752E-2</v>
      </c>
      <c r="R273" s="24">
        <f>Rådatakommune[[#This Row],[Kvinner20-39-O]]/Rådatakommune[[#This Row],[B16-O]]</f>
        <v>8.9215686274509806E-2</v>
      </c>
      <c r="S273" s="24">
        <f>Rådatakommune[[#This Row],[Eldre67+-O]]/Rådatakommune[[#This Row],[B16-O]]</f>
        <v>0.16862745098039217</v>
      </c>
      <c r="T273" s="24">
        <f>Rådatakommune[[#This Row],[S15-O]]/Rådatakommune[[#This Row],[S05-O]]-1</f>
        <v>-0.26442307692307687</v>
      </c>
      <c r="U273" s="24">
        <f>Rådatakommune[[#This Row],[Y15-O]]/Rådatakommune[[#This Row],[Folk20-64-O]]</f>
        <v>0.8876811594202898</v>
      </c>
    </row>
    <row r="274" spans="1:21" x14ac:dyDescent="0.3">
      <c r="A274" s="2" t="s">
        <v>272</v>
      </c>
      <c r="B274" s="37">
        <v>7421</v>
      </c>
      <c r="C274" s="37">
        <v>7675</v>
      </c>
      <c r="D274" s="37">
        <v>3947</v>
      </c>
      <c r="E274" s="40">
        <v>1205</v>
      </c>
      <c r="F274" s="41">
        <v>825</v>
      </c>
      <c r="G274">
        <v>4333</v>
      </c>
      <c r="H274" s="46">
        <v>3882</v>
      </c>
      <c r="I274" s="37">
        <v>3645</v>
      </c>
      <c r="J274" s="42">
        <v>328.54</v>
      </c>
      <c r="K274" s="5">
        <v>337.79</v>
      </c>
      <c r="L274" s="37">
        <v>384600</v>
      </c>
      <c r="M274" s="43">
        <v>203.95</v>
      </c>
      <c r="N274">
        <v>4</v>
      </c>
      <c r="O274" s="36">
        <f>Rådatakommune[[#This Row],[B16-O]]/Rådatakommune[[#This Row],[Landareal2016-O]]</f>
        <v>23.36093017592987</v>
      </c>
      <c r="P274" s="36">
        <f>Rådatakommune[[#This Row],[B16-O]]/Rådatakommune[[#This Row],[Totalareal2016-O]]</f>
        <v>22.721217324373129</v>
      </c>
      <c r="Q274" s="38">
        <f>Rådatakommune[[#This Row],[B16-O]]/Rådatakommune[[#This Row],[B06-O]]-1</f>
        <v>3.4227193100660358E-2</v>
      </c>
      <c r="R274" s="24">
        <f>Rådatakommune[[#This Row],[Kvinner20-39-O]]/Rådatakommune[[#This Row],[B16-O]]</f>
        <v>0.10749185667752444</v>
      </c>
      <c r="S274" s="24">
        <f>Rådatakommune[[#This Row],[Eldre67+-O]]/Rådatakommune[[#This Row],[B16-O]]</f>
        <v>0.15700325732899023</v>
      </c>
      <c r="T274" s="24">
        <f>Rådatakommune[[#This Row],[S15-O]]/Rådatakommune[[#This Row],[S05-O]]-1</f>
        <v>-6.1051004636785144E-2</v>
      </c>
      <c r="U274" s="24">
        <f>Rådatakommune[[#This Row],[Y15-O]]/Rådatakommune[[#This Row],[Folk20-64-O]]</f>
        <v>0.91091622432494812</v>
      </c>
    </row>
    <row r="275" spans="1:21" x14ac:dyDescent="0.3">
      <c r="A275" s="2" t="s">
        <v>273</v>
      </c>
      <c r="B275" s="37">
        <v>3638</v>
      </c>
      <c r="C275" s="37">
        <v>4620</v>
      </c>
      <c r="D275" s="37">
        <v>2331</v>
      </c>
      <c r="E275" s="40">
        <v>560</v>
      </c>
      <c r="F275" s="41">
        <v>610</v>
      </c>
      <c r="G275">
        <v>2695</v>
      </c>
      <c r="H275" s="46">
        <v>1090</v>
      </c>
      <c r="I275" s="37">
        <v>1493</v>
      </c>
      <c r="J275" s="42">
        <v>110.74</v>
      </c>
      <c r="K275" s="5">
        <v>120.03</v>
      </c>
      <c r="L275" s="37">
        <v>408500</v>
      </c>
      <c r="M275" s="43">
        <v>190.36666666669998</v>
      </c>
      <c r="N275">
        <v>4</v>
      </c>
      <c r="O275" s="36">
        <f>Rådatakommune[[#This Row],[B16-O]]/Rådatakommune[[#This Row],[Landareal2016-O]]</f>
        <v>41.719342604298362</v>
      </c>
      <c r="P275" s="36">
        <f>Rådatakommune[[#This Row],[B16-O]]/Rådatakommune[[#This Row],[Totalareal2016-O]]</f>
        <v>38.490377405648587</v>
      </c>
      <c r="Q275" s="38">
        <f>Rådatakommune[[#This Row],[B16-O]]/Rådatakommune[[#This Row],[B06-O]]-1</f>
        <v>0.26992853216052781</v>
      </c>
      <c r="R275" s="24">
        <f>Rådatakommune[[#This Row],[Kvinner20-39-O]]/Rådatakommune[[#This Row],[B16-O]]</f>
        <v>0.13203463203463203</v>
      </c>
      <c r="S275" s="24">
        <f>Rådatakommune[[#This Row],[Eldre67+-O]]/Rådatakommune[[#This Row],[B16-O]]</f>
        <v>0.12121212121212122</v>
      </c>
      <c r="T275" s="24">
        <f>Rådatakommune[[#This Row],[S15-O]]/Rådatakommune[[#This Row],[S05-O]]-1</f>
        <v>0.36972477064220177</v>
      </c>
      <c r="U275" s="24">
        <f>Rådatakommune[[#This Row],[Y15-O]]/Rådatakommune[[#This Row],[Folk20-64-O]]</f>
        <v>0.86493506493506489</v>
      </c>
    </row>
    <row r="276" spans="1:21" x14ac:dyDescent="0.3">
      <c r="A276" s="2" t="s">
        <v>274</v>
      </c>
      <c r="B276" s="37">
        <v>7502</v>
      </c>
      <c r="C276" s="37">
        <v>8952</v>
      </c>
      <c r="D276" s="37">
        <v>4501</v>
      </c>
      <c r="E276" s="40">
        <v>1192</v>
      </c>
      <c r="F276" s="41">
        <v>1107</v>
      </c>
      <c r="G276">
        <v>5064</v>
      </c>
      <c r="H276" s="46">
        <v>2441</v>
      </c>
      <c r="I276" s="37">
        <v>2873</v>
      </c>
      <c r="J276" s="42">
        <v>57.05</v>
      </c>
      <c r="K276" s="5">
        <v>58.5</v>
      </c>
      <c r="L276" s="37">
        <v>400500</v>
      </c>
      <c r="M276" s="43">
        <v>193.61666666669998</v>
      </c>
      <c r="N276">
        <v>4</v>
      </c>
      <c r="O276" s="36">
        <f>Rådatakommune[[#This Row],[B16-O]]/Rådatakommune[[#This Row],[Landareal2016-O]]</f>
        <v>156.91498685363717</v>
      </c>
      <c r="P276" s="36">
        <f>Rådatakommune[[#This Row],[B16-O]]/Rådatakommune[[#This Row],[Totalareal2016-O]]</f>
        <v>153.02564102564102</v>
      </c>
      <c r="Q276" s="38">
        <f>Rådatakommune[[#This Row],[B16-O]]/Rådatakommune[[#This Row],[B06-O]]-1</f>
        <v>0.19328179152226066</v>
      </c>
      <c r="R276" s="24">
        <f>Rådatakommune[[#This Row],[Kvinner20-39-O]]/Rådatakommune[[#This Row],[B16-O]]</f>
        <v>0.12365951742627346</v>
      </c>
      <c r="S276" s="24">
        <f>Rådatakommune[[#This Row],[Eldre67+-O]]/Rådatakommune[[#This Row],[B16-O]]</f>
        <v>0.13315460232350312</v>
      </c>
      <c r="T276" s="24">
        <f>Rådatakommune[[#This Row],[S15-O]]/Rådatakommune[[#This Row],[S05-O]]-1</f>
        <v>0.17697664891437936</v>
      </c>
      <c r="U276" s="24">
        <f>Rådatakommune[[#This Row],[Y15-O]]/Rådatakommune[[#This Row],[Folk20-64-O]]</f>
        <v>0.88882306477093209</v>
      </c>
    </row>
    <row r="277" spans="1:21" x14ac:dyDescent="0.3">
      <c r="A277" s="2" t="s">
        <v>275</v>
      </c>
      <c r="B277" s="37">
        <v>6630</v>
      </c>
      <c r="C277" s="37">
        <v>8094</v>
      </c>
      <c r="D277" s="37">
        <v>4070</v>
      </c>
      <c r="E277" s="40">
        <v>1040</v>
      </c>
      <c r="F277" s="41">
        <v>1012</v>
      </c>
      <c r="G277">
        <v>4599</v>
      </c>
      <c r="H277" s="46">
        <v>2220</v>
      </c>
      <c r="I277" s="37">
        <v>2508</v>
      </c>
      <c r="J277" s="42">
        <v>39.869999999999997</v>
      </c>
      <c r="K277" s="5">
        <v>40.529999999999994</v>
      </c>
      <c r="L277" s="37">
        <v>435000</v>
      </c>
      <c r="M277" s="43">
        <v>163.05000000000001</v>
      </c>
      <c r="N277">
        <v>4</v>
      </c>
      <c r="O277" s="36">
        <f>Rådatakommune[[#This Row],[B16-O]]/Rådatakommune[[#This Row],[Landareal2016-O]]</f>
        <v>203.00978179082017</v>
      </c>
      <c r="P277" s="36">
        <f>Rådatakommune[[#This Row],[B16-O]]/Rådatakommune[[#This Row],[Totalareal2016-O]]</f>
        <v>199.70392301998524</v>
      </c>
      <c r="Q277" s="38">
        <f>Rådatakommune[[#This Row],[B16-O]]/Rådatakommune[[#This Row],[B06-O]]-1</f>
        <v>0.22081447963800915</v>
      </c>
      <c r="R277" s="24">
        <f>Rådatakommune[[#This Row],[Kvinner20-39-O]]/Rådatakommune[[#This Row],[B16-O]]</f>
        <v>0.12503088707684704</v>
      </c>
      <c r="S277" s="24">
        <f>Rådatakommune[[#This Row],[Eldre67+-O]]/Rådatakommune[[#This Row],[B16-O]]</f>
        <v>0.12849023968371634</v>
      </c>
      <c r="T277" s="24">
        <f>Rådatakommune[[#This Row],[S15-O]]/Rådatakommune[[#This Row],[S05-O]]-1</f>
        <v>0.12972972972972974</v>
      </c>
      <c r="U277" s="24">
        <f>Rådatakommune[[#This Row],[Y15-O]]/Rådatakommune[[#This Row],[Folk20-64-O]]</f>
        <v>0.88497499456403561</v>
      </c>
    </row>
    <row r="278" spans="1:21" x14ac:dyDescent="0.3">
      <c r="A278" s="2" t="s">
        <v>276</v>
      </c>
      <c r="B278" s="37">
        <v>8643</v>
      </c>
      <c r="C278" s="37">
        <v>9200</v>
      </c>
      <c r="D278" s="37">
        <v>4564</v>
      </c>
      <c r="E278" s="40">
        <v>1545</v>
      </c>
      <c r="F278" s="41">
        <v>1003</v>
      </c>
      <c r="G278">
        <v>5153</v>
      </c>
      <c r="H278" s="46">
        <v>3989</v>
      </c>
      <c r="I278" s="37">
        <v>4225</v>
      </c>
      <c r="J278" s="42">
        <v>254.3</v>
      </c>
      <c r="K278" s="5">
        <v>261.14</v>
      </c>
      <c r="L278" s="37">
        <v>405900</v>
      </c>
      <c r="M278" s="43">
        <v>196.9333333333</v>
      </c>
      <c r="N278">
        <v>4</v>
      </c>
      <c r="O278" s="36">
        <f>Rådatakommune[[#This Row],[B16-O]]/Rådatakommune[[#This Row],[Landareal2016-O]]</f>
        <v>36.177742823436887</v>
      </c>
      <c r="P278" s="36">
        <f>Rådatakommune[[#This Row],[B16-O]]/Rådatakommune[[#This Row],[Totalareal2016-O]]</f>
        <v>35.230144749942561</v>
      </c>
      <c r="Q278" s="38">
        <f>Rådatakommune[[#This Row],[B16-O]]/Rådatakommune[[#This Row],[B06-O]]-1</f>
        <v>6.4445215781557375E-2</v>
      </c>
      <c r="R278" s="24">
        <f>Rådatakommune[[#This Row],[Kvinner20-39-O]]/Rådatakommune[[#This Row],[B16-O]]</f>
        <v>0.10902173913043478</v>
      </c>
      <c r="S278" s="24">
        <f>Rådatakommune[[#This Row],[Eldre67+-O]]/Rådatakommune[[#This Row],[B16-O]]</f>
        <v>0.16793478260869565</v>
      </c>
      <c r="T278" s="24">
        <f>Rådatakommune[[#This Row],[S15-O]]/Rådatakommune[[#This Row],[S05-O]]-1</f>
        <v>5.9162697417899146E-2</v>
      </c>
      <c r="U278" s="24">
        <f>Rådatakommune[[#This Row],[Y15-O]]/Rådatakommune[[#This Row],[Folk20-64-O]]</f>
        <v>0.8856976518532893</v>
      </c>
    </row>
    <row r="279" spans="1:21" x14ac:dyDescent="0.3">
      <c r="A279" s="2" t="s">
        <v>277</v>
      </c>
      <c r="B279" s="37">
        <v>6442</v>
      </c>
      <c r="C279" s="37">
        <v>6611</v>
      </c>
      <c r="D279" s="37">
        <v>3209</v>
      </c>
      <c r="E279" s="40">
        <v>1096</v>
      </c>
      <c r="F279" s="41">
        <v>681</v>
      </c>
      <c r="G279">
        <v>3842</v>
      </c>
      <c r="H279" s="46">
        <v>2800</v>
      </c>
      <c r="I279" s="37">
        <v>2812</v>
      </c>
      <c r="J279" s="42">
        <v>347.5</v>
      </c>
      <c r="K279" s="5">
        <v>352.01</v>
      </c>
      <c r="L279" s="37">
        <v>376900</v>
      </c>
      <c r="M279" s="43">
        <v>204.3</v>
      </c>
      <c r="N279">
        <v>4</v>
      </c>
      <c r="O279" s="36">
        <f>Rådatakommune[[#This Row],[B16-O]]/Rådatakommune[[#This Row],[Landareal2016-O]]</f>
        <v>19.024460431654678</v>
      </c>
      <c r="P279" s="36">
        <f>Rådatakommune[[#This Row],[B16-O]]/Rådatakommune[[#This Row],[Totalareal2016-O]]</f>
        <v>18.780716456918839</v>
      </c>
      <c r="Q279" s="38">
        <f>Rådatakommune[[#This Row],[B16-O]]/Rådatakommune[[#This Row],[B06-O]]-1</f>
        <v>2.6234088792300492E-2</v>
      </c>
      <c r="R279" s="24">
        <f>Rådatakommune[[#This Row],[Kvinner20-39-O]]/Rådatakommune[[#This Row],[B16-O]]</f>
        <v>0.10301013462411134</v>
      </c>
      <c r="S279" s="24">
        <f>Rådatakommune[[#This Row],[Eldre67+-O]]/Rådatakommune[[#This Row],[B16-O]]</f>
        <v>0.16578429889577975</v>
      </c>
      <c r="T279" s="24">
        <f>Rådatakommune[[#This Row],[S15-O]]/Rådatakommune[[#This Row],[S05-O]]-1</f>
        <v>4.2857142857142261E-3</v>
      </c>
      <c r="U279" s="24">
        <f>Rådatakommune[[#This Row],[Y15-O]]/Rådatakommune[[#This Row],[Folk20-64-O]]</f>
        <v>0.8352420614263405</v>
      </c>
    </row>
    <row r="280" spans="1:21" x14ac:dyDescent="0.3">
      <c r="A280" s="2" t="s">
        <v>278</v>
      </c>
      <c r="B280" s="37">
        <v>7347</v>
      </c>
      <c r="C280" s="37">
        <v>7492</v>
      </c>
      <c r="D280" s="37">
        <v>3693</v>
      </c>
      <c r="E280" s="40">
        <v>1412</v>
      </c>
      <c r="F280" s="41">
        <v>761</v>
      </c>
      <c r="G280">
        <v>4128</v>
      </c>
      <c r="H280" s="46">
        <v>3370</v>
      </c>
      <c r="I280" s="37">
        <v>3357</v>
      </c>
      <c r="J280" s="42">
        <v>1441.99</v>
      </c>
      <c r="K280" s="5">
        <v>1502.13</v>
      </c>
      <c r="L280" s="37">
        <v>387300</v>
      </c>
      <c r="M280" s="43">
        <v>203.11666666669998</v>
      </c>
      <c r="N280">
        <v>5</v>
      </c>
      <c r="O280" s="36">
        <f>Rådatakommune[[#This Row],[B16-O]]/Rådatakommune[[#This Row],[Landareal2016-O]]</f>
        <v>5.1955977503311397</v>
      </c>
      <c r="P280" s="36">
        <f>Rådatakommune[[#This Row],[B16-O]]/Rådatakommune[[#This Row],[Totalareal2016-O]]</f>
        <v>4.9875842969649762</v>
      </c>
      <c r="Q280" s="38">
        <f>Rådatakommune[[#This Row],[B16-O]]/Rådatakommune[[#This Row],[B06-O]]-1</f>
        <v>1.973594664488898E-2</v>
      </c>
      <c r="R280" s="24">
        <f>Rådatakommune[[#This Row],[Kvinner20-39-O]]/Rådatakommune[[#This Row],[B16-O]]</f>
        <v>0.10157501334757074</v>
      </c>
      <c r="S280" s="24">
        <f>Rådatakommune[[#This Row],[Eldre67+-O]]/Rådatakommune[[#This Row],[B16-O]]</f>
        <v>0.18846769887880405</v>
      </c>
      <c r="T280" s="24">
        <f>Rådatakommune[[#This Row],[S15-O]]/Rådatakommune[[#This Row],[S05-O]]-1</f>
        <v>-3.8575667655786905E-3</v>
      </c>
      <c r="U280" s="24">
        <f>Rådatakommune[[#This Row],[Y15-O]]/Rådatakommune[[#This Row],[Folk20-64-O]]</f>
        <v>0.89462209302325579</v>
      </c>
    </row>
    <row r="281" spans="1:21" x14ac:dyDescent="0.3">
      <c r="A281" s="2" t="s">
        <v>279</v>
      </c>
      <c r="B281" s="37">
        <v>3139</v>
      </c>
      <c r="C281" s="37">
        <v>2970</v>
      </c>
      <c r="D281" s="37">
        <v>1469</v>
      </c>
      <c r="E281" s="40">
        <v>571</v>
      </c>
      <c r="F281" s="41">
        <v>289</v>
      </c>
      <c r="G281">
        <v>1674</v>
      </c>
      <c r="H281" s="46">
        <v>1197</v>
      </c>
      <c r="I281" s="37">
        <v>876</v>
      </c>
      <c r="J281" s="42">
        <v>985.59</v>
      </c>
      <c r="K281" s="5">
        <v>1046.08</v>
      </c>
      <c r="L281" s="37">
        <v>380600</v>
      </c>
      <c r="M281" s="43">
        <v>191.51666666669999</v>
      </c>
      <c r="N281">
        <v>4</v>
      </c>
      <c r="O281" s="36">
        <f>Rådatakommune[[#This Row],[B16-O]]/Rådatakommune[[#This Row],[Landareal2016-O]]</f>
        <v>3.0134234316500774</v>
      </c>
      <c r="P281" s="36">
        <f>Rådatakommune[[#This Row],[B16-O]]/Rådatakommune[[#This Row],[Totalareal2016-O]]</f>
        <v>2.8391710003059041</v>
      </c>
      <c r="Q281" s="38">
        <f>Rådatakommune[[#This Row],[B16-O]]/Rådatakommune[[#This Row],[B06-O]]-1</f>
        <v>-5.3838802166294997E-2</v>
      </c>
      <c r="R281" s="24">
        <f>Rådatakommune[[#This Row],[Kvinner20-39-O]]/Rådatakommune[[#This Row],[B16-O]]</f>
        <v>9.7306397306397313E-2</v>
      </c>
      <c r="S281" s="24">
        <f>Rådatakommune[[#This Row],[Eldre67+-O]]/Rådatakommune[[#This Row],[B16-O]]</f>
        <v>0.19225589225589226</v>
      </c>
      <c r="T281" s="24">
        <f>Rådatakommune[[#This Row],[S15-O]]/Rådatakommune[[#This Row],[S05-O]]-1</f>
        <v>-0.26817042606516295</v>
      </c>
      <c r="U281" s="24">
        <f>Rådatakommune[[#This Row],[Y15-O]]/Rådatakommune[[#This Row],[Folk20-64-O]]</f>
        <v>0.87753882915173242</v>
      </c>
    </row>
    <row r="282" spans="1:21" x14ac:dyDescent="0.3">
      <c r="A282" s="2" t="s">
        <v>280</v>
      </c>
      <c r="B282" s="37">
        <v>1923</v>
      </c>
      <c r="C282" s="37">
        <v>2088</v>
      </c>
      <c r="D282" s="37">
        <v>988</v>
      </c>
      <c r="E282" s="40">
        <v>390</v>
      </c>
      <c r="F282" s="41">
        <v>210</v>
      </c>
      <c r="G282">
        <v>1078</v>
      </c>
      <c r="H282" s="46">
        <v>762</v>
      </c>
      <c r="I282" s="37">
        <v>863</v>
      </c>
      <c r="J282" s="42">
        <v>93.89</v>
      </c>
      <c r="K282" s="5">
        <v>94.65</v>
      </c>
      <c r="L282" s="37">
        <v>399000</v>
      </c>
      <c r="M282" s="43">
        <v>189.4166666667</v>
      </c>
      <c r="N282">
        <v>4</v>
      </c>
      <c r="O282" s="36">
        <f>Rådatakommune[[#This Row],[B16-O]]/Rådatakommune[[#This Row],[Landareal2016-O]]</f>
        <v>22.238790073490254</v>
      </c>
      <c r="P282" s="36">
        <f>Rådatakommune[[#This Row],[B16-O]]/Rådatakommune[[#This Row],[Totalareal2016-O]]</f>
        <v>22.060221870047542</v>
      </c>
      <c r="Q282" s="38">
        <f>Rådatakommune[[#This Row],[B16-O]]/Rådatakommune[[#This Row],[B06-O]]-1</f>
        <v>8.5803432137285585E-2</v>
      </c>
      <c r="R282" s="24">
        <f>Rådatakommune[[#This Row],[Kvinner20-39-O]]/Rådatakommune[[#This Row],[B16-O]]</f>
        <v>0.10057471264367816</v>
      </c>
      <c r="S282" s="24">
        <f>Rådatakommune[[#This Row],[Eldre67+-O]]/Rådatakommune[[#This Row],[B16-O]]</f>
        <v>0.18678160919540229</v>
      </c>
      <c r="T282" s="24">
        <f>Rådatakommune[[#This Row],[S15-O]]/Rådatakommune[[#This Row],[S05-O]]-1</f>
        <v>0.13254593175853024</v>
      </c>
      <c r="U282" s="24">
        <f>Rådatakommune[[#This Row],[Y15-O]]/Rådatakommune[[#This Row],[Folk20-64-O]]</f>
        <v>0.91651205936920221</v>
      </c>
    </row>
    <row r="283" spans="1:21" x14ac:dyDescent="0.3">
      <c r="A283" s="2" t="s">
        <v>281</v>
      </c>
      <c r="B283" s="37">
        <v>1270</v>
      </c>
      <c r="C283" s="37">
        <v>1270</v>
      </c>
      <c r="D283" s="37">
        <v>643</v>
      </c>
      <c r="E283" s="40">
        <v>243</v>
      </c>
      <c r="F283" s="41">
        <v>111</v>
      </c>
      <c r="G283">
        <v>686</v>
      </c>
      <c r="H283" s="46">
        <v>608</v>
      </c>
      <c r="I283" s="37">
        <v>643</v>
      </c>
      <c r="J283" s="42">
        <v>21.36</v>
      </c>
      <c r="K283" s="5">
        <v>21.43</v>
      </c>
      <c r="L283" s="37">
        <v>457200</v>
      </c>
      <c r="M283" s="43">
        <v>253.216666667</v>
      </c>
      <c r="N283">
        <v>11</v>
      </c>
      <c r="O283" s="36">
        <f>Rådatakommune[[#This Row],[B16-O]]/Rådatakommune[[#This Row],[Landareal2016-O]]</f>
        <v>59.456928838951313</v>
      </c>
      <c r="P283" s="36">
        <f>Rådatakommune[[#This Row],[B16-O]]/Rådatakommune[[#This Row],[Totalareal2016-O]]</f>
        <v>59.262715818945402</v>
      </c>
      <c r="Q283" s="38">
        <f>Rådatakommune[[#This Row],[B16-O]]/Rådatakommune[[#This Row],[B06-O]]-1</f>
        <v>0</v>
      </c>
      <c r="R283" s="24">
        <f>Rådatakommune[[#This Row],[Kvinner20-39-O]]/Rådatakommune[[#This Row],[B16-O]]</f>
        <v>8.7401574803149612E-2</v>
      </c>
      <c r="S283" s="24">
        <f>Rådatakommune[[#This Row],[Eldre67+-O]]/Rådatakommune[[#This Row],[B16-O]]</f>
        <v>0.19133858267716536</v>
      </c>
      <c r="T283" s="24">
        <f>Rådatakommune[[#This Row],[S15-O]]/Rådatakommune[[#This Row],[S05-O]]-1</f>
        <v>5.7565789473684292E-2</v>
      </c>
      <c r="U283" s="24">
        <f>Rådatakommune[[#This Row],[Y15-O]]/Rådatakommune[[#This Row],[Folk20-64-O]]</f>
        <v>0.93731778425655976</v>
      </c>
    </row>
    <row r="284" spans="1:21" x14ac:dyDescent="0.3">
      <c r="A284" s="2" t="s">
        <v>282</v>
      </c>
      <c r="B284" s="37">
        <v>3099</v>
      </c>
      <c r="C284" s="37">
        <v>3518</v>
      </c>
      <c r="D284" s="37">
        <v>1693</v>
      </c>
      <c r="E284" s="40">
        <v>588</v>
      </c>
      <c r="F284" s="41">
        <v>417</v>
      </c>
      <c r="G284">
        <v>1906</v>
      </c>
      <c r="H284" s="46">
        <v>1101</v>
      </c>
      <c r="I284" s="37">
        <v>1448</v>
      </c>
      <c r="J284" s="42">
        <v>58.99</v>
      </c>
      <c r="K284" s="5">
        <v>59.080000000000005</v>
      </c>
      <c r="L284" s="37">
        <v>422100</v>
      </c>
      <c r="M284" s="43">
        <v>186.35</v>
      </c>
      <c r="N284">
        <v>4</v>
      </c>
      <c r="O284" s="36">
        <f>Rådatakommune[[#This Row],[B16-O]]/Rådatakommune[[#This Row],[Landareal2016-O]]</f>
        <v>59.637226648584502</v>
      </c>
      <c r="P284" s="36">
        <f>Rådatakommune[[#This Row],[B16-O]]/Rådatakommune[[#This Row],[Totalareal2016-O]]</f>
        <v>59.546377792823286</v>
      </c>
      <c r="Q284" s="38">
        <f>Rådatakommune[[#This Row],[B16-O]]/Rådatakommune[[#This Row],[B06-O]]-1</f>
        <v>0.13520490480800262</v>
      </c>
      <c r="R284" s="24">
        <f>Rådatakommune[[#This Row],[Kvinner20-39-O]]/Rådatakommune[[#This Row],[B16-O]]</f>
        <v>0.11853325753268903</v>
      </c>
      <c r="S284" s="24">
        <f>Rådatakommune[[#This Row],[Eldre67+-O]]/Rådatakommune[[#This Row],[B16-O]]</f>
        <v>0.1671404206935759</v>
      </c>
      <c r="T284" s="24">
        <f>Rådatakommune[[#This Row],[S15-O]]/Rådatakommune[[#This Row],[S05-O]]-1</f>
        <v>0.31516802906448693</v>
      </c>
      <c r="U284" s="24">
        <f>Rådatakommune[[#This Row],[Y15-O]]/Rådatakommune[[#This Row],[Folk20-64-O]]</f>
        <v>0.88824763903462745</v>
      </c>
    </row>
    <row r="285" spans="1:21" x14ac:dyDescent="0.3">
      <c r="A285" s="2" t="s">
        <v>283</v>
      </c>
      <c r="B285" s="37">
        <v>9088</v>
      </c>
      <c r="C285" s="37">
        <v>9717</v>
      </c>
      <c r="D285" s="37">
        <v>4983</v>
      </c>
      <c r="E285" s="40">
        <v>1450</v>
      </c>
      <c r="F285" s="41">
        <v>1145</v>
      </c>
      <c r="G285">
        <v>5562</v>
      </c>
      <c r="H285" s="46">
        <v>3361</v>
      </c>
      <c r="I285" s="37">
        <v>3452</v>
      </c>
      <c r="J285" s="42">
        <v>361.93</v>
      </c>
      <c r="K285" s="5">
        <v>369.72</v>
      </c>
      <c r="L285" s="37">
        <v>400300</v>
      </c>
      <c r="M285" s="43">
        <v>166.01666666670002</v>
      </c>
      <c r="N285">
        <v>4</v>
      </c>
      <c r="O285" s="36">
        <f>Rådatakommune[[#This Row],[B16-O]]/Rådatakommune[[#This Row],[Landareal2016-O]]</f>
        <v>26.847732987041692</v>
      </c>
      <c r="P285" s="36">
        <f>Rådatakommune[[#This Row],[B16-O]]/Rådatakommune[[#This Row],[Totalareal2016-O]]</f>
        <v>26.282051282051281</v>
      </c>
      <c r="Q285" s="38">
        <f>Rådatakommune[[#This Row],[B16-O]]/Rådatakommune[[#This Row],[B06-O]]-1</f>
        <v>6.9212147887323994E-2</v>
      </c>
      <c r="R285" s="24">
        <f>Rådatakommune[[#This Row],[Kvinner20-39-O]]/Rådatakommune[[#This Row],[B16-O]]</f>
        <v>0.11783472265102397</v>
      </c>
      <c r="S285" s="24">
        <f>Rådatakommune[[#This Row],[Eldre67+-O]]/Rådatakommune[[#This Row],[B16-O]]</f>
        <v>0.14922301121745396</v>
      </c>
      <c r="T285" s="24">
        <f>Rådatakommune[[#This Row],[S15-O]]/Rådatakommune[[#This Row],[S05-O]]-1</f>
        <v>2.7075275215709516E-2</v>
      </c>
      <c r="U285" s="24">
        <f>Rådatakommune[[#This Row],[Y15-O]]/Rådatakommune[[#This Row],[Folk20-64-O]]</f>
        <v>0.89590075512405609</v>
      </c>
    </row>
    <row r="286" spans="1:21" x14ac:dyDescent="0.3">
      <c r="A286" s="2" t="s">
        <v>284</v>
      </c>
      <c r="B286" s="37">
        <v>3342</v>
      </c>
      <c r="C286" s="37">
        <v>3467</v>
      </c>
      <c r="D286" s="37">
        <v>1750</v>
      </c>
      <c r="E286" s="40">
        <v>518</v>
      </c>
      <c r="F286" s="41">
        <v>392</v>
      </c>
      <c r="G286">
        <v>1937</v>
      </c>
      <c r="H286" s="46">
        <v>1357</v>
      </c>
      <c r="I286" s="37">
        <v>1192</v>
      </c>
      <c r="J286" s="42">
        <v>145.69</v>
      </c>
      <c r="K286" s="5">
        <v>152.09</v>
      </c>
      <c r="L286" s="37">
        <v>398100</v>
      </c>
      <c r="M286" s="43">
        <v>172.4333333333</v>
      </c>
      <c r="N286">
        <v>4</v>
      </c>
      <c r="O286" s="36">
        <f>Rådatakommune[[#This Row],[B16-O]]/Rådatakommune[[#This Row],[Landareal2016-O]]</f>
        <v>23.797103438808428</v>
      </c>
      <c r="P286" s="36">
        <f>Rådatakommune[[#This Row],[B16-O]]/Rådatakommune[[#This Row],[Totalareal2016-O]]</f>
        <v>22.795713064632782</v>
      </c>
      <c r="Q286" s="38">
        <f>Rådatakommune[[#This Row],[B16-O]]/Rådatakommune[[#This Row],[B06-O]]-1</f>
        <v>3.7402752842609299E-2</v>
      </c>
      <c r="R286" s="24">
        <f>Rådatakommune[[#This Row],[Kvinner20-39-O]]/Rådatakommune[[#This Row],[B16-O]]</f>
        <v>0.11306605134121719</v>
      </c>
      <c r="S286" s="24">
        <f>Rådatakommune[[#This Row],[Eldre67+-O]]/Rådatakommune[[#This Row],[B16-O]]</f>
        <v>0.14940871070089415</v>
      </c>
      <c r="T286" s="24">
        <f>Rådatakommune[[#This Row],[S15-O]]/Rådatakommune[[#This Row],[S05-O]]-1</f>
        <v>-0.12159174649963156</v>
      </c>
      <c r="U286" s="24">
        <f>Rådatakommune[[#This Row],[Y15-O]]/Rådatakommune[[#This Row],[Folk20-64-O]]</f>
        <v>0.90345895715023228</v>
      </c>
    </row>
    <row r="287" spans="1:21" x14ac:dyDescent="0.3">
      <c r="A287" s="2" t="s">
        <v>285</v>
      </c>
      <c r="B287" s="37">
        <v>5360</v>
      </c>
      <c r="C287" s="37">
        <v>5826</v>
      </c>
      <c r="D287" s="37">
        <v>2876</v>
      </c>
      <c r="E287" s="40">
        <v>946</v>
      </c>
      <c r="F287" s="41">
        <v>641</v>
      </c>
      <c r="G287">
        <v>3298</v>
      </c>
      <c r="H287" s="46">
        <v>2046</v>
      </c>
      <c r="I287" s="37">
        <v>2195</v>
      </c>
      <c r="J287" s="42">
        <v>172.84</v>
      </c>
      <c r="K287" s="5">
        <v>175.28</v>
      </c>
      <c r="L287" s="37">
        <v>415400</v>
      </c>
      <c r="M287" s="43">
        <v>173.5</v>
      </c>
      <c r="N287">
        <v>5</v>
      </c>
      <c r="O287" s="36">
        <f>Rådatakommune[[#This Row],[B16-O]]/Rådatakommune[[#This Row],[Landareal2016-O]]</f>
        <v>33.707475121499655</v>
      </c>
      <c r="P287" s="36">
        <f>Rådatakommune[[#This Row],[B16-O]]/Rådatakommune[[#This Row],[Totalareal2016-O]]</f>
        <v>33.238247375627566</v>
      </c>
      <c r="Q287" s="38">
        <f>Rådatakommune[[#This Row],[B16-O]]/Rådatakommune[[#This Row],[B06-O]]-1</f>
        <v>8.6940298507462765E-2</v>
      </c>
      <c r="R287" s="24">
        <f>Rådatakommune[[#This Row],[Kvinner20-39-O]]/Rådatakommune[[#This Row],[B16-O]]</f>
        <v>0.11002403020940611</v>
      </c>
      <c r="S287" s="24">
        <f>Rådatakommune[[#This Row],[Eldre67+-O]]/Rådatakommune[[#This Row],[B16-O]]</f>
        <v>0.16237555784414692</v>
      </c>
      <c r="T287" s="24">
        <f>Rådatakommune[[#This Row],[S15-O]]/Rådatakommune[[#This Row],[S05-O]]-1</f>
        <v>7.2825024437927599E-2</v>
      </c>
      <c r="U287" s="24">
        <f>Rådatakommune[[#This Row],[Y15-O]]/Rådatakommune[[#This Row],[Folk20-64-O]]</f>
        <v>0.87204366282595513</v>
      </c>
    </row>
    <row r="288" spans="1:21" x14ac:dyDescent="0.3">
      <c r="A288" s="2" t="s">
        <v>286</v>
      </c>
      <c r="B288" s="37">
        <v>2676</v>
      </c>
      <c r="C288" s="37">
        <v>2593</v>
      </c>
      <c r="D288" s="37">
        <v>1297</v>
      </c>
      <c r="E288" s="40">
        <v>475</v>
      </c>
      <c r="F288" s="41">
        <v>259</v>
      </c>
      <c r="G288">
        <v>1409</v>
      </c>
      <c r="H288" s="46">
        <v>824</v>
      </c>
      <c r="I288" s="37">
        <v>830</v>
      </c>
      <c r="J288" s="42">
        <v>371.07</v>
      </c>
      <c r="K288" s="5">
        <v>381.63</v>
      </c>
      <c r="L288" s="37">
        <v>411200</v>
      </c>
      <c r="M288" s="43">
        <v>175.98333333329998</v>
      </c>
      <c r="N288">
        <v>4</v>
      </c>
      <c r="O288" s="36">
        <f>Rådatakommune[[#This Row],[B16-O]]/Rådatakommune[[#This Row],[Landareal2016-O]]</f>
        <v>6.9878998571698068</v>
      </c>
      <c r="P288" s="36">
        <f>Rådatakommune[[#This Row],[B16-O]]/Rådatakommune[[#This Row],[Totalareal2016-O]]</f>
        <v>6.7945392133742111</v>
      </c>
      <c r="Q288" s="38">
        <f>Rådatakommune[[#This Row],[B16-O]]/Rådatakommune[[#This Row],[B06-O]]-1</f>
        <v>-3.101644245141999E-2</v>
      </c>
      <c r="R288" s="24">
        <f>Rådatakommune[[#This Row],[Kvinner20-39-O]]/Rådatakommune[[#This Row],[B16-O]]</f>
        <v>9.9884303895102194E-2</v>
      </c>
      <c r="S288" s="24">
        <f>Rådatakommune[[#This Row],[Eldre67+-O]]/Rådatakommune[[#This Row],[B16-O]]</f>
        <v>0.18318549942151949</v>
      </c>
      <c r="T288" s="24">
        <f>Rådatakommune[[#This Row],[S15-O]]/Rådatakommune[[#This Row],[S05-O]]-1</f>
        <v>7.2815533980583602E-3</v>
      </c>
      <c r="U288" s="24">
        <f>Rådatakommune[[#This Row],[Y15-O]]/Rådatakommune[[#This Row],[Folk20-64-O]]</f>
        <v>0.92051100070972325</v>
      </c>
    </row>
    <row r="289" spans="1:21" x14ac:dyDescent="0.3">
      <c r="A289" s="2" t="s">
        <v>287</v>
      </c>
      <c r="B289" s="37">
        <v>3099</v>
      </c>
      <c r="C289" s="37">
        <v>3103</v>
      </c>
      <c r="D289" s="37">
        <v>1443</v>
      </c>
      <c r="E289" s="40">
        <v>639</v>
      </c>
      <c r="F289" s="41">
        <v>295</v>
      </c>
      <c r="G289">
        <v>1684</v>
      </c>
      <c r="H289" s="46">
        <v>1077</v>
      </c>
      <c r="I289" s="37">
        <v>1007</v>
      </c>
      <c r="J289" s="42">
        <v>321.61</v>
      </c>
      <c r="K289" s="5">
        <v>336.76</v>
      </c>
      <c r="L289" s="37">
        <v>357100</v>
      </c>
      <c r="M289" s="43">
        <v>195.1666666667</v>
      </c>
      <c r="N289">
        <v>5</v>
      </c>
      <c r="O289" s="36">
        <f>Rådatakommune[[#This Row],[B16-O]]/Rådatakommune[[#This Row],[Landareal2016-O]]</f>
        <v>9.6483318304779075</v>
      </c>
      <c r="P289" s="36">
        <f>Rådatakommune[[#This Row],[B16-O]]/Rådatakommune[[#This Row],[Totalareal2016-O]]</f>
        <v>9.2142772300748312</v>
      </c>
      <c r="Q289" s="38">
        <f>Rådatakommune[[#This Row],[B16-O]]/Rådatakommune[[#This Row],[B06-O]]-1</f>
        <v>1.2907389480476539E-3</v>
      </c>
      <c r="R289" s="24">
        <f>Rådatakommune[[#This Row],[Kvinner20-39-O]]/Rådatakommune[[#This Row],[B16-O]]</f>
        <v>9.5069287786013534E-2</v>
      </c>
      <c r="S289" s="24">
        <f>Rådatakommune[[#This Row],[Eldre67+-O]]/Rådatakommune[[#This Row],[B16-O]]</f>
        <v>0.20592974540767001</v>
      </c>
      <c r="T289" s="24">
        <f>Rådatakommune[[#This Row],[S15-O]]/Rådatakommune[[#This Row],[S05-O]]-1</f>
        <v>-6.4995357474466164E-2</v>
      </c>
      <c r="U289" s="24">
        <f>Rådatakommune[[#This Row],[Y15-O]]/Rådatakommune[[#This Row],[Folk20-64-O]]</f>
        <v>0.85688836104513066</v>
      </c>
    </row>
    <row r="290" spans="1:21" x14ac:dyDescent="0.3">
      <c r="A290" s="2" t="s">
        <v>288</v>
      </c>
      <c r="B290" s="37">
        <v>7323</v>
      </c>
      <c r="C290" s="37">
        <v>7160</v>
      </c>
      <c r="D290" s="37">
        <v>3444</v>
      </c>
      <c r="E290" s="40">
        <v>1250</v>
      </c>
      <c r="F290" s="41">
        <v>687</v>
      </c>
      <c r="G290">
        <v>4069</v>
      </c>
      <c r="H290" s="46">
        <v>3897</v>
      </c>
      <c r="I290" s="37">
        <v>3680</v>
      </c>
      <c r="J290" s="42">
        <v>1647.93</v>
      </c>
      <c r="K290" s="5">
        <v>1713.44</v>
      </c>
      <c r="L290" s="37">
        <v>377500</v>
      </c>
      <c r="M290" s="43">
        <v>219.6</v>
      </c>
      <c r="N290">
        <v>9</v>
      </c>
      <c r="O290" s="36">
        <f>Rådatakommune[[#This Row],[B16-O]]/Rådatakommune[[#This Row],[Landareal2016-O]]</f>
        <v>4.3448447446190066</v>
      </c>
      <c r="P290" s="36">
        <f>Rådatakommune[[#This Row],[B16-O]]/Rådatakommune[[#This Row],[Totalareal2016-O]]</f>
        <v>4.1787281725651324</v>
      </c>
      <c r="Q290" s="38">
        <f>Rådatakommune[[#This Row],[B16-O]]/Rådatakommune[[#This Row],[B06-O]]-1</f>
        <v>-2.2258637170558537E-2</v>
      </c>
      <c r="R290" s="24">
        <f>Rådatakommune[[#This Row],[Kvinner20-39-O]]/Rådatakommune[[#This Row],[B16-O]]</f>
        <v>9.5949720670391064E-2</v>
      </c>
      <c r="S290" s="24">
        <f>Rådatakommune[[#This Row],[Eldre67+-O]]/Rådatakommune[[#This Row],[B16-O]]</f>
        <v>0.17458100558659218</v>
      </c>
      <c r="T290" s="24">
        <f>Rådatakommune[[#This Row],[S15-O]]/Rådatakommune[[#This Row],[S05-O]]-1</f>
        <v>-5.5683859379009548E-2</v>
      </c>
      <c r="U290" s="24">
        <f>Rådatakommune[[#This Row],[Y15-O]]/Rådatakommune[[#This Row],[Folk20-64-O]]</f>
        <v>0.84639960678299342</v>
      </c>
    </row>
    <row r="291" spans="1:21" x14ac:dyDescent="0.3">
      <c r="A291" s="2" t="s">
        <v>289</v>
      </c>
      <c r="B291" s="37">
        <v>6107</v>
      </c>
      <c r="C291" s="37">
        <v>5969</v>
      </c>
      <c r="D291" s="37">
        <v>2980</v>
      </c>
      <c r="E291" s="40">
        <v>1132</v>
      </c>
      <c r="F291" s="41">
        <v>591</v>
      </c>
      <c r="G291">
        <v>3305</v>
      </c>
      <c r="H291" s="46">
        <v>2744</v>
      </c>
      <c r="I291" s="37">
        <v>2832</v>
      </c>
      <c r="J291" s="42">
        <v>1314.99</v>
      </c>
      <c r="K291" s="5">
        <v>1365.31</v>
      </c>
      <c r="L291" s="37">
        <v>359900</v>
      </c>
      <c r="M291" s="43">
        <v>242.6666666667</v>
      </c>
      <c r="N291">
        <v>9</v>
      </c>
      <c r="O291" s="36">
        <f>Rådatakommune[[#This Row],[B16-O]]/Rådatakommune[[#This Row],[Landareal2016-O]]</f>
        <v>4.5391980167149564</v>
      </c>
      <c r="P291" s="36">
        <f>Rådatakommune[[#This Row],[B16-O]]/Rådatakommune[[#This Row],[Totalareal2016-O]]</f>
        <v>4.3719008869780493</v>
      </c>
      <c r="Q291" s="38">
        <f>Rådatakommune[[#This Row],[B16-O]]/Rådatakommune[[#This Row],[B06-O]]-1</f>
        <v>-2.2597019813328956E-2</v>
      </c>
      <c r="R291" s="24">
        <f>Rådatakommune[[#This Row],[Kvinner20-39-O]]/Rådatakommune[[#This Row],[B16-O]]</f>
        <v>9.9011559725247111E-2</v>
      </c>
      <c r="S291" s="24">
        <f>Rådatakommune[[#This Row],[Eldre67+-O]]/Rådatakommune[[#This Row],[B16-O]]</f>
        <v>0.18964650695258836</v>
      </c>
      <c r="T291" s="24">
        <f>Rådatakommune[[#This Row],[S15-O]]/Rådatakommune[[#This Row],[S05-O]]-1</f>
        <v>3.2069970845481022E-2</v>
      </c>
      <c r="U291" s="24">
        <f>Rådatakommune[[#This Row],[Y15-O]]/Rådatakommune[[#This Row],[Folk20-64-O]]</f>
        <v>0.90166414523449323</v>
      </c>
    </row>
    <row r="292" spans="1:21" x14ac:dyDescent="0.3">
      <c r="A292" s="2" t="s">
        <v>290</v>
      </c>
      <c r="B292" s="37">
        <v>2088</v>
      </c>
      <c r="C292" s="37">
        <v>2036</v>
      </c>
      <c r="D292" s="37">
        <v>1002</v>
      </c>
      <c r="E292" s="40">
        <v>417</v>
      </c>
      <c r="F292" s="41">
        <v>209</v>
      </c>
      <c r="G292">
        <v>1072</v>
      </c>
      <c r="H292" s="46">
        <v>910</v>
      </c>
      <c r="I292" s="37">
        <v>860</v>
      </c>
      <c r="J292" s="42">
        <v>611.22</v>
      </c>
      <c r="K292" s="5">
        <v>631.84</v>
      </c>
      <c r="L292" s="37">
        <v>357900</v>
      </c>
      <c r="M292" s="43">
        <v>252.3166666667</v>
      </c>
      <c r="N292">
        <v>9</v>
      </c>
      <c r="O292" s="36">
        <f>Rådatakommune[[#This Row],[B16-O]]/Rådatakommune[[#This Row],[Landareal2016-O]]</f>
        <v>3.3310428323680505</v>
      </c>
      <c r="P292" s="36">
        <f>Rådatakommune[[#This Row],[B16-O]]/Rådatakommune[[#This Row],[Totalareal2016-O]]</f>
        <v>3.222334768295771</v>
      </c>
      <c r="Q292" s="38">
        <f>Rådatakommune[[#This Row],[B16-O]]/Rådatakommune[[#This Row],[B06-O]]-1</f>
        <v>-2.4904214559386961E-2</v>
      </c>
      <c r="R292" s="24">
        <f>Rådatakommune[[#This Row],[Kvinner20-39-O]]/Rådatakommune[[#This Row],[B16-O]]</f>
        <v>0.10265225933202357</v>
      </c>
      <c r="S292" s="24">
        <f>Rådatakommune[[#This Row],[Eldre67+-O]]/Rådatakommune[[#This Row],[B16-O]]</f>
        <v>0.20481335952848723</v>
      </c>
      <c r="T292" s="24">
        <f>Rådatakommune[[#This Row],[S15-O]]/Rådatakommune[[#This Row],[S05-O]]-1</f>
        <v>-5.4945054945054972E-2</v>
      </c>
      <c r="U292" s="24">
        <f>Rådatakommune[[#This Row],[Y15-O]]/Rådatakommune[[#This Row],[Folk20-64-O]]</f>
        <v>0.93470149253731338</v>
      </c>
    </row>
    <row r="293" spans="1:21" x14ac:dyDescent="0.3">
      <c r="A293" s="2" t="s">
        <v>291</v>
      </c>
      <c r="B293" s="37">
        <v>1693</v>
      </c>
      <c r="C293" s="37">
        <v>1547</v>
      </c>
      <c r="D293" s="37">
        <v>698</v>
      </c>
      <c r="E293" s="40">
        <v>360</v>
      </c>
      <c r="F293" s="41">
        <v>133</v>
      </c>
      <c r="G293">
        <v>812</v>
      </c>
      <c r="H293" s="46">
        <v>741</v>
      </c>
      <c r="I293" s="37">
        <v>614</v>
      </c>
      <c r="J293" s="42">
        <v>292.29000000000002</v>
      </c>
      <c r="K293" s="5">
        <v>300.53000000000003</v>
      </c>
      <c r="L293" s="37">
        <v>366200</v>
      </c>
      <c r="M293" s="43">
        <v>221.3</v>
      </c>
      <c r="N293">
        <v>9</v>
      </c>
      <c r="O293" s="36">
        <f>Rådatakommune[[#This Row],[B16-O]]/Rådatakommune[[#This Row],[Landareal2016-O]]</f>
        <v>5.2926887680043793</v>
      </c>
      <c r="P293" s="36">
        <f>Rådatakommune[[#This Row],[B16-O]]/Rådatakommune[[#This Row],[Totalareal2016-O]]</f>
        <v>5.1475726217016602</v>
      </c>
      <c r="Q293" s="38">
        <f>Rådatakommune[[#This Row],[B16-O]]/Rådatakommune[[#This Row],[B06-O]]-1</f>
        <v>-8.6237448316597742E-2</v>
      </c>
      <c r="R293" s="24">
        <f>Rådatakommune[[#This Row],[Kvinner20-39-O]]/Rådatakommune[[#This Row],[B16-O]]</f>
        <v>8.5972850678733032E-2</v>
      </c>
      <c r="S293" s="24">
        <f>Rådatakommune[[#This Row],[Eldre67+-O]]/Rådatakommune[[#This Row],[B16-O]]</f>
        <v>0.23270846800258566</v>
      </c>
      <c r="T293" s="24">
        <f>Rådatakommune[[#This Row],[S15-O]]/Rådatakommune[[#This Row],[S05-O]]-1</f>
        <v>-0.17139001349527661</v>
      </c>
      <c r="U293" s="24">
        <f>Rådatakommune[[#This Row],[Y15-O]]/Rådatakommune[[#This Row],[Folk20-64-O]]</f>
        <v>0.85960591133004927</v>
      </c>
    </row>
    <row r="294" spans="1:21" x14ac:dyDescent="0.3">
      <c r="A294" s="2" t="s">
        <v>292</v>
      </c>
      <c r="B294" s="37">
        <v>2192</v>
      </c>
      <c r="C294" s="37">
        <v>2141</v>
      </c>
      <c r="D294" s="37">
        <v>1076</v>
      </c>
      <c r="E294" s="40">
        <v>430</v>
      </c>
      <c r="F294" s="41">
        <v>214</v>
      </c>
      <c r="G294">
        <v>1216</v>
      </c>
      <c r="H294" s="46">
        <v>851</v>
      </c>
      <c r="I294" s="37">
        <v>1005</v>
      </c>
      <c r="J294" s="42">
        <v>261.08</v>
      </c>
      <c r="K294" s="5">
        <v>271.90999999999997</v>
      </c>
      <c r="L294" s="37">
        <v>381700</v>
      </c>
      <c r="M294" s="43">
        <v>232.01666666670002</v>
      </c>
      <c r="N294">
        <v>11</v>
      </c>
      <c r="O294" s="36">
        <f>Rådatakommune[[#This Row],[B16-O]]/Rådatakommune[[#This Row],[Landareal2016-O]]</f>
        <v>8.2005515550789028</v>
      </c>
      <c r="P294" s="36">
        <f>Rådatakommune[[#This Row],[B16-O]]/Rådatakommune[[#This Row],[Totalareal2016-O]]</f>
        <v>7.8739288735243287</v>
      </c>
      <c r="Q294" s="38">
        <f>Rådatakommune[[#This Row],[B16-O]]/Rådatakommune[[#This Row],[B06-O]]-1</f>
        <v>-2.3266423357664268E-2</v>
      </c>
      <c r="R294" s="24">
        <f>Rådatakommune[[#This Row],[Kvinner20-39-O]]/Rådatakommune[[#This Row],[B16-O]]</f>
        <v>9.9953292853806636E-2</v>
      </c>
      <c r="S294" s="24">
        <f>Rådatakommune[[#This Row],[Eldre67+-O]]/Rådatakommune[[#This Row],[B16-O]]</f>
        <v>0.20084072863148061</v>
      </c>
      <c r="T294" s="24">
        <f>Rådatakommune[[#This Row],[S15-O]]/Rådatakommune[[#This Row],[S05-O]]-1</f>
        <v>0.18096357226792015</v>
      </c>
      <c r="U294" s="24">
        <f>Rådatakommune[[#This Row],[Y15-O]]/Rådatakommune[[#This Row],[Folk20-64-O]]</f>
        <v>0.88486842105263153</v>
      </c>
    </row>
    <row r="295" spans="1:21" x14ac:dyDescent="0.3">
      <c r="A295" s="2" t="s">
        <v>293</v>
      </c>
      <c r="B295" s="37">
        <v>3591</v>
      </c>
      <c r="C295" s="37">
        <v>3536</v>
      </c>
      <c r="D295" s="37">
        <v>1703</v>
      </c>
      <c r="E295" s="40">
        <v>716</v>
      </c>
      <c r="F295" s="41">
        <v>316</v>
      </c>
      <c r="G295">
        <v>1938</v>
      </c>
      <c r="H295" s="46">
        <v>1517</v>
      </c>
      <c r="I295" s="37">
        <v>1511</v>
      </c>
      <c r="J295" s="42">
        <v>621.73</v>
      </c>
      <c r="K295" s="5">
        <v>641.37</v>
      </c>
      <c r="L295" s="37">
        <v>377100</v>
      </c>
      <c r="M295" s="43">
        <v>221.71666666670001</v>
      </c>
      <c r="N295">
        <v>11</v>
      </c>
      <c r="O295" s="36">
        <f>Rådatakommune[[#This Row],[B16-O]]/Rådatakommune[[#This Row],[Landareal2016-O]]</f>
        <v>5.687356247888955</v>
      </c>
      <c r="P295" s="36">
        <f>Rådatakommune[[#This Row],[B16-O]]/Rådatakommune[[#This Row],[Totalareal2016-O]]</f>
        <v>5.5131983098679385</v>
      </c>
      <c r="Q295" s="38">
        <f>Rådatakommune[[#This Row],[B16-O]]/Rådatakommune[[#This Row],[B06-O]]-1</f>
        <v>-1.531606794764695E-2</v>
      </c>
      <c r="R295" s="24">
        <f>Rådatakommune[[#This Row],[Kvinner20-39-O]]/Rådatakommune[[#This Row],[B16-O]]</f>
        <v>8.9366515837104074E-2</v>
      </c>
      <c r="S295" s="24">
        <f>Rådatakommune[[#This Row],[Eldre67+-O]]/Rådatakommune[[#This Row],[B16-O]]</f>
        <v>0.20248868778280543</v>
      </c>
      <c r="T295" s="24">
        <f>Rådatakommune[[#This Row],[S15-O]]/Rådatakommune[[#This Row],[S05-O]]-1</f>
        <v>-3.9551746868820015E-3</v>
      </c>
      <c r="U295" s="24">
        <f>Rådatakommune[[#This Row],[Y15-O]]/Rådatakommune[[#This Row],[Folk20-64-O]]</f>
        <v>0.87874097007223939</v>
      </c>
    </row>
    <row r="296" spans="1:21" x14ac:dyDescent="0.3">
      <c r="A296" s="2" t="s">
        <v>294</v>
      </c>
      <c r="B296" s="37">
        <v>158613</v>
      </c>
      <c r="C296" s="37">
        <v>187353</v>
      </c>
      <c r="D296" s="37">
        <v>96908</v>
      </c>
      <c r="E296" s="40">
        <v>22608</v>
      </c>
      <c r="F296" s="41">
        <v>28984</v>
      </c>
      <c r="G296">
        <v>118435</v>
      </c>
      <c r="H296" s="46">
        <v>96353</v>
      </c>
      <c r="I296" s="37">
        <v>113020</v>
      </c>
      <c r="J296" s="42">
        <v>321.64</v>
      </c>
      <c r="K296" s="5">
        <v>341.19</v>
      </c>
      <c r="L296" s="37">
        <v>420900</v>
      </c>
      <c r="M296" s="43">
        <v>179.28333333329999</v>
      </c>
      <c r="N296">
        <v>2</v>
      </c>
      <c r="O296" s="36">
        <f>Rådatakommune[[#This Row],[B16-O]]/Rådatakommune[[#This Row],[Landareal2016-O]]</f>
        <v>582.49284914811597</v>
      </c>
      <c r="P296" s="36">
        <f>Rådatakommune[[#This Row],[B16-O]]/Rådatakommune[[#This Row],[Totalareal2016-O]]</f>
        <v>549.11632814560801</v>
      </c>
      <c r="Q296" s="38">
        <f>Rådatakommune[[#This Row],[B16-O]]/Rådatakommune[[#This Row],[B06-O]]-1</f>
        <v>0.18119574057611931</v>
      </c>
      <c r="R296" s="24">
        <f>Rådatakommune[[#This Row],[Kvinner20-39-O]]/Rådatakommune[[#This Row],[B16-O]]</f>
        <v>0.15470262018756037</v>
      </c>
      <c r="S296" s="24">
        <f>Rådatakommune[[#This Row],[Eldre67+-O]]/Rådatakommune[[#This Row],[B16-O]]</f>
        <v>0.12067060575491186</v>
      </c>
      <c r="T296" s="24">
        <f>Rådatakommune[[#This Row],[S15-O]]/Rådatakommune[[#This Row],[S05-O]]-1</f>
        <v>0.17297852687513626</v>
      </c>
      <c r="U296" s="24">
        <f>Rådatakommune[[#This Row],[Y15-O]]/Rådatakommune[[#This Row],[Folk20-64-O]]</f>
        <v>0.8182378519863216</v>
      </c>
    </row>
    <row r="297" spans="1:21" x14ac:dyDescent="0.3">
      <c r="A297" s="2" t="s">
        <v>295</v>
      </c>
      <c r="B297" s="37">
        <v>4293</v>
      </c>
      <c r="C297" s="37">
        <v>4260</v>
      </c>
      <c r="D297" s="37">
        <v>2014</v>
      </c>
      <c r="E297" s="40">
        <v>788</v>
      </c>
      <c r="F297" s="41">
        <v>464</v>
      </c>
      <c r="G297">
        <v>2344</v>
      </c>
      <c r="H297" s="46">
        <v>1663</v>
      </c>
      <c r="I297" s="37">
        <v>1937</v>
      </c>
      <c r="J297" s="42">
        <v>635.1</v>
      </c>
      <c r="K297" s="5">
        <v>669.9</v>
      </c>
      <c r="L297" s="37">
        <v>368900</v>
      </c>
      <c r="M297" s="43">
        <v>251.4166666667</v>
      </c>
      <c r="N297">
        <v>9</v>
      </c>
      <c r="O297" s="36">
        <f>Rådatakommune[[#This Row],[B16-O]]/Rådatakommune[[#This Row],[Landareal2016-O]]</f>
        <v>6.7076051015588094</v>
      </c>
      <c r="P297" s="36">
        <f>Rådatakommune[[#This Row],[B16-O]]/Rådatakommune[[#This Row],[Totalareal2016-O]]</f>
        <v>6.3591580832960144</v>
      </c>
      <c r="Q297" s="38">
        <f>Rådatakommune[[#This Row],[B16-O]]/Rådatakommune[[#This Row],[B06-O]]-1</f>
        <v>-7.686932215234088E-3</v>
      </c>
      <c r="R297" s="24">
        <f>Rådatakommune[[#This Row],[Kvinner20-39-O]]/Rådatakommune[[#This Row],[B16-O]]</f>
        <v>0.10892018779342723</v>
      </c>
      <c r="S297" s="24">
        <f>Rådatakommune[[#This Row],[Eldre67+-O]]/Rådatakommune[[#This Row],[B16-O]]</f>
        <v>0.18497652582159624</v>
      </c>
      <c r="T297" s="24">
        <f>Rådatakommune[[#This Row],[S15-O]]/Rådatakommune[[#This Row],[S05-O]]-1</f>
        <v>0.16476247745039085</v>
      </c>
      <c r="U297" s="24">
        <f>Rådatakommune[[#This Row],[Y15-O]]/Rådatakommune[[#This Row],[Folk20-64-O]]</f>
        <v>0.85921501706484638</v>
      </c>
    </row>
    <row r="298" spans="1:21" x14ac:dyDescent="0.3">
      <c r="A298" s="2" t="s">
        <v>296</v>
      </c>
      <c r="B298" s="37">
        <v>1046</v>
      </c>
      <c r="C298" s="37">
        <v>978</v>
      </c>
      <c r="D298" s="37">
        <v>505</v>
      </c>
      <c r="E298" s="40">
        <v>199</v>
      </c>
      <c r="F298" s="41">
        <v>83</v>
      </c>
      <c r="G298">
        <v>551</v>
      </c>
      <c r="H298" s="46">
        <v>377</v>
      </c>
      <c r="I298" s="37">
        <v>356</v>
      </c>
      <c r="J298" s="42">
        <v>488.94</v>
      </c>
      <c r="K298" s="5">
        <v>508.11</v>
      </c>
      <c r="L298" s="37">
        <v>366200</v>
      </c>
      <c r="M298" s="43">
        <v>234.78333333329999</v>
      </c>
      <c r="N298">
        <v>5</v>
      </c>
      <c r="O298" s="36">
        <f>Rådatakommune[[#This Row],[B16-O]]/Rådatakommune[[#This Row],[Landareal2016-O]]</f>
        <v>2.0002454288869802</v>
      </c>
      <c r="P298" s="36">
        <f>Rådatakommune[[#This Row],[B16-O]]/Rådatakommune[[#This Row],[Totalareal2016-O]]</f>
        <v>1.92478006730826</v>
      </c>
      <c r="Q298" s="38">
        <f>Rådatakommune[[#This Row],[B16-O]]/Rådatakommune[[#This Row],[B06-O]]-1</f>
        <v>-6.5009560229445484E-2</v>
      </c>
      <c r="R298" s="24">
        <f>Rådatakommune[[#This Row],[Kvinner20-39-O]]/Rådatakommune[[#This Row],[B16-O]]</f>
        <v>8.4867075664621677E-2</v>
      </c>
      <c r="S298" s="24">
        <f>Rådatakommune[[#This Row],[Eldre67+-O]]/Rådatakommune[[#This Row],[B16-O]]</f>
        <v>0.20347648261758691</v>
      </c>
      <c r="T298" s="24">
        <f>Rådatakommune[[#This Row],[S15-O]]/Rådatakommune[[#This Row],[S05-O]]-1</f>
        <v>-5.5702917771883298E-2</v>
      </c>
      <c r="U298" s="24">
        <f>Rådatakommune[[#This Row],[Y15-O]]/Rådatakommune[[#This Row],[Folk20-64-O]]</f>
        <v>0.91651542649727769</v>
      </c>
    </row>
    <row r="299" spans="1:21" x14ac:dyDescent="0.3">
      <c r="A299" s="2" t="s">
        <v>297</v>
      </c>
      <c r="B299" s="37">
        <v>4021</v>
      </c>
      <c r="C299" s="37">
        <v>4622</v>
      </c>
      <c r="D299" s="37">
        <v>2340</v>
      </c>
      <c r="E299" s="40">
        <v>819</v>
      </c>
      <c r="F299" s="41">
        <v>534</v>
      </c>
      <c r="G299">
        <v>2658</v>
      </c>
      <c r="H299" s="46">
        <v>1914</v>
      </c>
      <c r="I299" s="37">
        <v>2413</v>
      </c>
      <c r="J299" s="42">
        <v>643.88</v>
      </c>
      <c r="K299" s="5">
        <v>680.39</v>
      </c>
      <c r="L299" s="37">
        <v>365100</v>
      </c>
      <c r="M299" s="43">
        <v>279.133333333</v>
      </c>
      <c r="N299">
        <v>10</v>
      </c>
      <c r="O299" s="36">
        <f>Rådatakommune[[#This Row],[B16-O]]/Rådatakommune[[#This Row],[Landareal2016-O]]</f>
        <v>7.1783562154438716</v>
      </c>
      <c r="P299" s="36">
        <f>Rådatakommune[[#This Row],[B16-O]]/Rådatakommune[[#This Row],[Totalareal2016-O]]</f>
        <v>6.7931627448963097</v>
      </c>
      <c r="Q299" s="38">
        <f>Rådatakommune[[#This Row],[B16-O]]/Rådatakommune[[#This Row],[B06-O]]-1</f>
        <v>0.14946530713752804</v>
      </c>
      <c r="R299" s="24">
        <f>Rådatakommune[[#This Row],[Kvinner20-39-O]]/Rådatakommune[[#This Row],[B16-O]]</f>
        <v>0.11553440069234097</v>
      </c>
      <c r="S299" s="24">
        <f>Rådatakommune[[#This Row],[Eldre67+-O]]/Rådatakommune[[#This Row],[B16-O]]</f>
        <v>0.1771960190393769</v>
      </c>
      <c r="T299" s="24">
        <f>Rådatakommune[[#This Row],[S15-O]]/Rådatakommune[[#This Row],[S05-O]]-1</f>
        <v>0.26071055381400199</v>
      </c>
      <c r="U299" s="24">
        <f>Rådatakommune[[#This Row],[Y15-O]]/Rådatakommune[[#This Row],[Folk20-64-O]]</f>
        <v>0.88036117381489842</v>
      </c>
    </row>
    <row r="300" spans="1:21" x14ac:dyDescent="0.3">
      <c r="A300" s="2" t="s">
        <v>298</v>
      </c>
      <c r="B300" s="37">
        <v>4059</v>
      </c>
      <c r="C300" s="37">
        <v>4799</v>
      </c>
      <c r="D300" s="37">
        <v>2471</v>
      </c>
      <c r="E300" s="40">
        <v>732</v>
      </c>
      <c r="F300" s="41">
        <v>602</v>
      </c>
      <c r="G300">
        <v>2863</v>
      </c>
      <c r="H300" s="46">
        <v>1845</v>
      </c>
      <c r="I300" s="37">
        <v>2625</v>
      </c>
      <c r="J300" s="42">
        <v>229.8</v>
      </c>
      <c r="K300" s="5">
        <v>240.70000000000002</v>
      </c>
      <c r="L300" s="37">
        <v>416000</v>
      </c>
      <c r="M300" s="43">
        <v>303.64999999999998</v>
      </c>
      <c r="N300">
        <v>10</v>
      </c>
      <c r="O300" s="36">
        <f>Rådatakommune[[#This Row],[B16-O]]/Rådatakommune[[#This Row],[Landareal2016-O]]</f>
        <v>20.883376849434288</v>
      </c>
      <c r="P300" s="36">
        <f>Rådatakommune[[#This Row],[B16-O]]/Rådatakommune[[#This Row],[Totalareal2016-O]]</f>
        <v>19.937681761528872</v>
      </c>
      <c r="Q300" s="38">
        <f>Rådatakommune[[#This Row],[B16-O]]/Rådatakommune[[#This Row],[B06-O]]-1</f>
        <v>0.18231091401823107</v>
      </c>
      <c r="R300" s="24">
        <f>Rådatakommune[[#This Row],[Kvinner20-39-O]]/Rådatakommune[[#This Row],[B16-O]]</f>
        <v>0.12544280058345489</v>
      </c>
      <c r="S300" s="24">
        <f>Rådatakommune[[#This Row],[Eldre67+-O]]/Rådatakommune[[#This Row],[B16-O]]</f>
        <v>0.15253177745363616</v>
      </c>
      <c r="T300" s="24">
        <f>Rådatakommune[[#This Row],[S15-O]]/Rådatakommune[[#This Row],[S05-O]]-1</f>
        <v>0.4227642276422765</v>
      </c>
      <c r="U300" s="24">
        <f>Rådatakommune[[#This Row],[Y15-O]]/Rådatakommune[[#This Row],[Folk20-64-O]]</f>
        <v>0.86308068459657705</v>
      </c>
    </row>
    <row r="301" spans="1:21" x14ac:dyDescent="0.3">
      <c r="A301" s="2" t="s">
        <v>299</v>
      </c>
      <c r="B301" s="37">
        <v>5113</v>
      </c>
      <c r="C301" s="37">
        <v>5209</v>
      </c>
      <c r="D301" s="37">
        <v>2530</v>
      </c>
      <c r="E301" s="40">
        <v>875</v>
      </c>
      <c r="F301" s="41">
        <v>583</v>
      </c>
      <c r="G301">
        <v>3027</v>
      </c>
      <c r="H301" s="46">
        <v>2438</v>
      </c>
      <c r="I301" s="37">
        <v>2564</v>
      </c>
      <c r="J301" s="42">
        <v>73.09</v>
      </c>
      <c r="K301" s="5">
        <v>73.180000000000007</v>
      </c>
      <c r="L301" s="37">
        <v>380000</v>
      </c>
      <c r="M301" s="43">
        <v>275.8</v>
      </c>
      <c r="N301">
        <v>10</v>
      </c>
      <c r="O301" s="36">
        <f>Rådatakommune[[#This Row],[B16-O]]/Rådatakommune[[#This Row],[Landareal2016-O]]</f>
        <v>71.268299356957172</v>
      </c>
      <c r="P301" s="36">
        <f>Rådatakommune[[#This Row],[B16-O]]/Rådatakommune[[#This Row],[Totalareal2016-O]]</f>
        <v>71.180650450942878</v>
      </c>
      <c r="Q301" s="38">
        <f>Rådatakommune[[#This Row],[B16-O]]/Rådatakommune[[#This Row],[B06-O]]-1</f>
        <v>1.8775669861138322E-2</v>
      </c>
      <c r="R301" s="24">
        <f>Rådatakommune[[#This Row],[Kvinner20-39-O]]/Rådatakommune[[#This Row],[B16-O]]</f>
        <v>0.11192167402572471</v>
      </c>
      <c r="S301" s="24">
        <f>Rådatakommune[[#This Row],[Eldre67+-O]]/Rådatakommune[[#This Row],[B16-O]]</f>
        <v>0.16797849875215973</v>
      </c>
      <c r="T301" s="24">
        <f>Rådatakommune[[#This Row],[S15-O]]/Rådatakommune[[#This Row],[S05-O]]-1</f>
        <v>5.1681706316653031E-2</v>
      </c>
      <c r="U301" s="24">
        <f>Rådatakommune[[#This Row],[Y15-O]]/Rådatakommune[[#This Row],[Folk20-64-O]]</f>
        <v>0.83581103402708956</v>
      </c>
    </row>
    <row r="302" spans="1:21" x14ac:dyDescent="0.3">
      <c r="A302" s="2" t="s">
        <v>300</v>
      </c>
      <c r="B302" s="37">
        <v>1779</v>
      </c>
      <c r="C302" s="37">
        <v>1733</v>
      </c>
      <c r="D302" s="37">
        <v>830</v>
      </c>
      <c r="E302" s="40">
        <v>395</v>
      </c>
      <c r="F302" s="41">
        <v>148</v>
      </c>
      <c r="G302">
        <v>927</v>
      </c>
      <c r="H302" s="46">
        <v>710</v>
      </c>
      <c r="I302" s="37">
        <v>620</v>
      </c>
      <c r="J302" s="42">
        <v>296.5</v>
      </c>
      <c r="K302" s="5">
        <v>317.27</v>
      </c>
      <c r="L302" s="37">
        <v>349100</v>
      </c>
      <c r="M302" s="43">
        <v>235.45</v>
      </c>
      <c r="N302">
        <v>5</v>
      </c>
      <c r="O302" s="36">
        <f>Rådatakommune[[#This Row],[B16-O]]/Rådatakommune[[#This Row],[Landareal2016-O]]</f>
        <v>5.8448566610455313</v>
      </c>
      <c r="P302" s="36">
        <f>Rådatakommune[[#This Row],[B16-O]]/Rådatakommune[[#This Row],[Totalareal2016-O]]</f>
        <v>5.4622246036498883</v>
      </c>
      <c r="Q302" s="38">
        <f>Rådatakommune[[#This Row],[B16-O]]/Rådatakommune[[#This Row],[B06-O]]-1</f>
        <v>-2.5857223159078124E-2</v>
      </c>
      <c r="R302" s="24">
        <f>Rådatakommune[[#This Row],[Kvinner20-39-O]]/Rådatakommune[[#This Row],[B16-O]]</f>
        <v>8.5401038661281015E-2</v>
      </c>
      <c r="S302" s="24">
        <f>Rådatakommune[[#This Row],[Eldre67+-O]]/Rådatakommune[[#This Row],[B16-O]]</f>
        <v>0.22792844777841892</v>
      </c>
      <c r="T302" s="24">
        <f>Rådatakommune[[#This Row],[S15-O]]/Rådatakommune[[#This Row],[S05-O]]-1</f>
        <v>-0.12676056338028174</v>
      </c>
      <c r="U302" s="24">
        <f>Rådatakommune[[#This Row],[Y15-O]]/Rådatakommune[[#This Row],[Folk20-64-O]]</f>
        <v>0.89536138079827399</v>
      </c>
    </row>
    <row r="303" spans="1:21" x14ac:dyDescent="0.3">
      <c r="A303" s="2" t="s">
        <v>301</v>
      </c>
      <c r="B303" s="37">
        <v>6417</v>
      </c>
      <c r="C303" s="37">
        <v>6644</v>
      </c>
      <c r="D303" s="37">
        <v>3052</v>
      </c>
      <c r="E303" s="40">
        <v>1189</v>
      </c>
      <c r="F303" s="41">
        <v>676</v>
      </c>
      <c r="G303">
        <v>3684</v>
      </c>
      <c r="H303" s="46">
        <v>2614</v>
      </c>
      <c r="I303" s="37">
        <v>2605</v>
      </c>
      <c r="J303" s="42">
        <v>587.85</v>
      </c>
      <c r="K303" s="5">
        <v>615.55000000000007</v>
      </c>
      <c r="L303" s="37">
        <v>358400</v>
      </c>
      <c r="M303" s="43">
        <v>239.8333333333</v>
      </c>
      <c r="N303">
        <v>2</v>
      </c>
      <c r="O303" s="36">
        <f>Rådatakommune[[#This Row],[B16-O]]/Rådatakommune[[#This Row],[Landareal2016-O]]</f>
        <v>11.302202942927616</v>
      </c>
      <c r="P303" s="36">
        <f>Rådatakommune[[#This Row],[B16-O]]/Rådatakommune[[#This Row],[Totalareal2016-O]]</f>
        <v>10.793599220209568</v>
      </c>
      <c r="Q303" s="38">
        <f>Rådatakommune[[#This Row],[B16-O]]/Rådatakommune[[#This Row],[B06-O]]-1</f>
        <v>3.5374785725416968E-2</v>
      </c>
      <c r="R303" s="24">
        <f>Rådatakommune[[#This Row],[Kvinner20-39-O]]/Rådatakommune[[#This Row],[B16-O]]</f>
        <v>0.10174593618302227</v>
      </c>
      <c r="S303" s="24">
        <f>Rådatakommune[[#This Row],[Eldre67+-O]]/Rådatakommune[[#This Row],[B16-O]]</f>
        <v>0.17895845875978325</v>
      </c>
      <c r="T303" s="24">
        <f>Rådatakommune[[#This Row],[S15-O]]/Rådatakommune[[#This Row],[S05-O]]-1</f>
        <v>-3.4429992348891103E-3</v>
      </c>
      <c r="U303" s="24">
        <f>Rådatakommune[[#This Row],[Y15-O]]/Rådatakommune[[#This Row],[Folk20-64-O]]</f>
        <v>0.82844733984799135</v>
      </c>
    </row>
    <row r="304" spans="1:21" x14ac:dyDescent="0.3">
      <c r="A304" s="2" t="s">
        <v>302</v>
      </c>
      <c r="B304" s="37">
        <v>4634</v>
      </c>
      <c r="C304" s="37">
        <v>4779</v>
      </c>
      <c r="D304" s="37">
        <v>2182</v>
      </c>
      <c r="E304" s="40">
        <v>873</v>
      </c>
      <c r="F304" s="41">
        <v>504</v>
      </c>
      <c r="G304">
        <v>2605</v>
      </c>
      <c r="H304" s="46">
        <v>1645</v>
      </c>
      <c r="I304" s="37">
        <v>1815</v>
      </c>
      <c r="J304" s="42">
        <v>355.83</v>
      </c>
      <c r="K304" s="5">
        <v>383.79999999999995</v>
      </c>
      <c r="L304" s="37">
        <v>363600</v>
      </c>
      <c r="M304" s="43">
        <v>272.35000000000002</v>
      </c>
      <c r="N304">
        <v>10</v>
      </c>
      <c r="O304" s="36">
        <f>Rådatakommune[[#This Row],[B16-O]]/Rådatakommune[[#This Row],[Landareal2016-O]]</f>
        <v>13.430570778180593</v>
      </c>
      <c r="P304" s="36">
        <f>Rådatakommune[[#This Row],[B16-O]]/Rådatakommune[[#This Row],[Totalareal2016-O]]</f>
        <v>12.451797811360084</v>
      </c>
      <c r="Q304" s="38">
        <f>Rådatakommune[[#This Row],[B16-O]]/Rådatakommune[[#This Row],[B06-O]]-1</f>
        <v>3.1290461804057035E-2</v>
      </c>
      <c r="R304" s="24">
        <f>Rådatakommune[[#This Row],[Kvinner20-39-O]]/Rådatakommune[[#This Row],[B16-O]]</f>
        <v>0.10546139359698682</v>
      </c>
      <c r="S304" s="24">
        <f>Rådatakommune[[#This Row],[Eldre67+-O]]/Rådatakommune[[#This Row],[B16-O]]</f>
        <v>0.18267419962335216</v>
      </c>
      <c r="T304" s="24">
        <f>Rådatakommune[[#This Row],[S15-O]]/Rådatakommune[[#This Row],[S05-O]]-1</f>
        <v>0.10334346504559266</v>
      </c>
      <c r="U304" s="24">
        <f>Rådatakommune[[#This Row],[Y15-O]]/Rådatakommune[[#This Row],[Folk20-64-O]]</f>
        <v>0.83761996161228403</v>
      </c>
    </row>
    <row r="305" spans="1:21" x14ac:dyDescent="0.3">
      <c r="A305" s="2" t="s">
        <v>303</v>
      </c>
      <c r="B305" s="37">
        <v>3315</v>
      </c>
      <c r="C305" s="37">
        <v>3272</v>
      </c>
      <c r="D305" s="37">
        <v>1642</v>
      </c>
      <c r="E305" s="40">
        <v>675</v>
      </c>
      <c r="F305" s="41">
        <v>280</v>
      </c>
      <c r="G305">
        <v>1777</v>
      </c>
      <c r="H305" s="46">
        <v>1498</v>
      </c>
      <c r="I305" s="37">
        <v>1604</v>
      </c>
      <c r="J305" s="42">
        <v>895.27</v>
      </c>
      <c r="K305" s="5">
        <v>954.66</v>
      </c>
      <c r="L305" s="37">
        <v>374000</v>
      </c>
      <c r="M305" s="43">
        <v>269.8</v>
      </c>
      <c r="N305">
        <v>11</v>
      </c>
      <c r="O305" s="36">
        <f>Rådatakommune[[#This Row],[B16-O]]/Rådatakommune[[#This Row],[Landareal2016-O]]</f>
        <v>3.6547633674757338</v>
      </c>
      <c r="P305" s="36">
        <f>Rådatakommune[[#This Row],[B16-O]]/Rådatakommune[[#This Row],[Totalareal2016-O]]</f>
        <v>3.4273982360212014</v>
      </c>
      <c r="Q305" s="38">
        <f>Rådatakommune[[#This Row],[B16-O]]/Rådatakommune[[#This Row],[B06-O]]-1</f>
        <v>-1.2971342383107043E-2</v>
      </c>
      <c r="R305" s="24">
        <f>Rådatakommune[[#This Row],[Kvinner20-39-O]]/Rådatakommune[[#This Row],[B16-O]]</f>
        <v>8.557457212713937E-2</v>
      </c>
      <c r="S305" s="24">
        <f>Rådatakommune[[#This Row],[Eldre67+-O]]/Rådatakommune[[#This Row],[B16-O]]</f>
        <v>0.2062958435207824</v>
      </c>
      <c r="T305" s="24">
        <f>Rådatakommune[[#This Row],[S15-O]]/Rådatakommune[[#This Row],[S05-O]]-1</f>
        <v>7.0761014686248291E-2</v>
      </c>
      <c r="U305" s="24">
        <f>Rådatakommune[[#This Row],[Y15-O]]/Rådatakommune[[#This Row],[Folk20-64-O]]</f>
        <v>0.9240292628024761</v>
      </c>
    </row>
    <row r="306" spans="1:21" x14ac:dyDescent="0.3">
      <c r="A306" s="2" t="s">
        <v>304</v>
      </c>
      <c r="B306" s="37">
        <v>1066</v>
      </c>
      <c r="C306" s="37">
        <v>961</v>
      </c>
      <c r="D306" s="37">
        <v>495</v>
      </c>
      <c r="E306" s="40">
        <v>220</v>
      </c>
      <c r="F306" s="41">
        <v>90</v>
      </c>
      <c r="G306">
        <v>520</v>
      </c>
      <c r="H306" s="46">
        <v>415</v>
      </c>
      <c r="I306" s="37">
        <v>436</v>
      </c>
      <c r="J306" s="42">
        <v>355.17</v>
      </c>
      <c r="K306" s="5">
        <v>374.64</v>
      </c>
      <c r="L306" s="37">
        <v>337200</v>
      </c>
      <c r="M306" s="43">
        <v>309.05</v>
      </c>
      <c r="N306">
        <v>11</v>
      </c>
      <c r="O306" s="36">
        <f>Rådatakommune[[#This Row],[B16-O]]/Rådatakommune[[#This Row],[Landareal2016-O]]</f>
        <v>2.7057465439085506</v>
      </c>
      <c r="P306" s="36">
        <f>Rådatakommune[[#This Row],[B16-O]]/Rådatakommune[[#This Row],[Totalareal2016-O]]</f>
        <v>2.5651291906897291</v>
      </c>
      <c r="Q306" s="38">
        <f>Rådatakommune[[#This Row],[B16-O]]/Rådatakommune[[#This Row],[B06-O]]-1</f>
        <v>-9.8499061913696062E-2</v>
      </c>
      <c r="R306" s="24">
        <f>Rådatakommune[[#This Row],[Kvinner20-39-O]]/Rådatakommune[[#This Row],[B16-O]]</f>
        <v>9.3652445369406867E-2</v>
      </c>
      <c r="S306" s="24">
        <f>Rådatakommune[[#This Row],[Eldre67+-O]]/Rådatakommune[[#This Row],[B16-O]]</f>
        <v>0.22892819979188345</v>
      </c>
      <c r="T306" s="24">
        <f>Rådatakommune[[#This Row],[S15-O]]/Rådatakommune[[#This Row],[S05-O]]-1</f>
        <v>5.0602409638554224E-2</v>
      </c>
      <c r="U306" s="24">
        <f>Rådatakommune[[#This Row],[Y15-O]]/Rådatakommune[[#This Row],[Folk20-64-O]]</f>
        <v>0.95192307692307687</v>
      </c>
    </row>
    <row r="307" spans="1:21" x14ac:dyDescent="0.3">
      <c r="A307" s="2" t="s">
        <v>305</v>
      </c>
      <c r="B307" s="37">
        <v>1059</v>
      </c>
      <c r="C307" s="37">
        <v>976</v>
      </c>
      <c r="D307" s="37">
        <v>442</v>
      </c>
      <c r="E307" s="40">
        <v>247</v>
      </c>
      <c r="F307" s="41">
        <v>80</v>
      </c>
      <c r="G307">
        <v>489</v>
      </c>
      <c r="H307" s="46">
        <v>430</v>
      </c>
      <c r="I307" s="37">
        <v>372</v>
      </c>
      <c r="J307" s="42">
        <v>369.69</v>
      </c>
      <c r="K307" s="5">
        <v>387.17</v>
      </c>
      <c r="L307" s="37">
        <v>347600</v>
      </c>
      <c r="M307" s="43">
        <v>273.14999999999998</v>
      </c>
      <c r="N307">
        <v>11</v>
      </c>
      <c r="O307" s="36">
        <f>Rådatakommune[[#This Row],[B16-O]]/Rådatakommune[[#This Row],[Landareal2016-O]]</f>
        <v>2.640049771430117</v>
      </c>
      <c r="P307" s="36">
        <f>Rådatakommune[[#This Row],[B16-O]]/Rådatakommune[[#This Row],[Totalareal2016-O]]</f>
        <v>2.5208564713175088</v>
      </c>
      <c r="Q307" s="38">
        <f>Rådatakommune[[#This Row],[B16-O]]/Rådatakommune[[#This Row],[B06-O]]-1</f>
        <v>-7.8375826251180336E-2</v>
      </c>
      <c r="R307" s="24">
        <f>Rådatakommune[[#This Row],[Kvinner20-39-O]]/Rådatakommune[[#This Row],[B16-O]]</f>
        <v>8.1967213114754092E-2</v>
      </c>
      <c r="S307" s="24">
        <f>Rådatakommune[[#This Row],[Eldre67+-O]]/Rådatakommune[[#This Row],[B16-O]]</f>
        <v>0.2530737704918033</v>
      </c>
      <c r="T307" s="24">
        <f>Rådatakommune[[#This Row],[S15-O]]/Rådatakommune[[#This Row],[S05-O]]-1</f>
        <v>-0.1348837209302326</v>
      </c>
      <c r="U307" s="24">
        <f>Rådatakommune[[#This Row],[Y15-O]]/Rådatakommune[[#This Row],[Folk20-64-O]]</f>
        <v>0.9038854805725971</v>
      </c>
    </row>
    <row r="308" spans="1:21" x14ac:dyDescent="0.3">
      <c r="A308" s="2" t="s">
        <v>306</v>
      </c>
      <c r="B308" s="37">
        <v>6499</v>
      </c>
      <c r="C308" s="37">
        <v>6886</v>
      </c>
      <c r="D308" s="37">
        <v>3426</v>
      </c>
      <c r="E308" s="40">
        <v>1239</v>
      </c>
      <c r="F308" s="41">
        <v>721</v>
      </c>
      <c r="G308">
        <v>3823</v>
      </c>
      <c r="H308" s="46">
        <v>3107</v>
      </c>
      <c r="I308" s="37">
        <v>3149</v>
      </c>
      <c r="J308" s="42">
        <v>2201.5100000000002</v>
      </c>
      <c r="K308" s="5">
        <v>2274.11</v>
      </c>
      <c r="L308" s="37">
        <v>362900</v>
      </c>
      <c r="M308" s="43">
        <v>267.93333333300001</v>
      </c>
      <c r="N308">
        <v>9</v>
      </c>
      <c r="O308" s="36">
        <f>Rådatakommune[[#This Row],[B16-O]]/Rådatakommune[[#This Row],[Landareal2016-O]]</f>
        <v>3.127853155334293</v>
      </c>
      <c r="P308" s="36">
        <f>Rådatakommune[[#This Row],[B16-O]]/Rådatakommune[[#This Row],[Totalareal2016-O]]</f>
        <v>3.0279977661590687</v>
      </c>
      <c r="Q308" s="38">
        <f>Rådatakommune[[#This Row],[B16-O]]/Rådatakommune[[#This Row],[B06-O]]-1</f>
        <v>5.954762271118641E-2</v>
      </c>
      <c r="R308" s="24">
        <f>Rådatakommune[[#This Row],[Kvinner20-39-O]]/Rådatakommune[[#This Row],[B16-O]]</f>
        <v>0.10470519895440024</v>
      </c>
      <c r="S308" s="24">
        <f>Rådatakommune[[#This Row],[Eldre67+-O]]/Rådatakommune[[#This Row],[B16-O]]</f>
        <v>0.17993029334882371</v>
      </c>
      <c r="T308" s="24">
        <f>Rådatakommune[[#This Row],[S15-O]]/Rådatakommune[[#This Row],[S05-O]]-1</f>
        <v>1.3517862890247923E-2</v>
      </c>
      <c r="U308" s="24">
        <f>Rådatakommune[[#This Row],[Y15-O]]/Rådatakommune[[#This Row],[Folk20-64-O]]</f>
        <v>0.896154852210306</v>
      </c>
    </row>
    <row r="309" spans="1:21" x14ac:dyDescent="0.3">
      <c r="A309" s="2" t="s">
        <v>307</v>
      </c>
      <c r="B309" s="37">
        <v>2653</v>
      </c>
      <c r="C309" s="37">
        <v>2562</v>
      </c>
      <c r="D309" s="37">
        <v>1264</v>
      </c>
      <c r="E309" s="40">
        <v>552</v>
      </c>
      <c r="F309" s="41">
        <v>233</v>
      </c>
      <c r="G309">
        <v>1345</v>
      </c>
      <c r="H309" s="46">
        <v>1190</v>
      </c>
      <c r="I309" s="37">
        <v>1092</v>
      </c>
      <c r="J309" s="42">
        <v>925.11</v>
      </c>
      <c r="K309" s="5">
        <v>947.97</v>
      </c>
      <c r="L309" s="37">
        <v>344900</v>
      </c>
      <c r="M309" s="43">
        <v>243.05</v>
      </c>
      <c r="N309">
        <v>5</v>
      </c>
      <c r="O309" s="36">
        <f>Rådatakommune[[#This Row],[B16-O]]/Rådatakommune[[#This Row],[Landareal2016-O]]</f>
        <v>2.7694003956286277</v>
      </c>
      <c r="P309" s="36">
        <f>Rådatakommune[[#This Row],[B16-O]]/Rådatakommune[[#This Row],[Totalareal2016-O]]</f>
        <v>2.7026171714294756</v>
      </c>
      <c r="Q309" s="38">
        <f>Rådatakommune[[#This Row],[B16-O]]/Rådatakommune[[#This Row],[B06-O]]-1</f>
        <v>-3.4300791556728272E-2</v>
      </c>
      <c r="R309" s="24">
        <f>Rådatakommune[[#This Row],[Kvinner20-39-O]]/Rådatakommune[[#This Row],[B16-O]]</f>
        <v>9.0944574551131932E-2</v>
      </c>
      <c r="S309" s="24">
        <f>Rådatakommune[[#This Row],[Eldre67+-O]]/Rådatakommune[[#This Row],[B16-O]]</f>
        <v>0.21545667447306791</v>
      </c>
      <c r="T309" s="24">
        <f>Rådatakommune[[#This Row],[S15-O]]/Rådatakommune[[#This Row],[S05-O]]-1</f>
        <v>-8.2352941176470629E-2</v>
      </c>
      <c r="U309" s="24">
        <f>Rådatakommune[[#This Row],[Y15-O]]/Rådatakommune[[#This Row],[Folk20-64-O]]</f>
        <v>0.93977695167286246</v>
      </c>
    </row>
    <row r="310" spans="1:21" x14ac:dyDescent="0.3">
      <c r="A310" s="2" t="s">
        <v>308</v>
      </c>
      <c r="B310" s="37">
        <v>3903</v>
      </c>
      <c r="C310" s="37">
        <v>3954</v>
      </c>
      <c r="D310" s="37">
        <v>1861</v>
      </c>
      <c r="E310" s="40">
        <v>772</v>
      </c>
      <c r="F310" s="41">
        <v>408</v>
      </c>
      <c r="G310">
        <v>2166</v>
      </c>
      <c r="H310" s="46">
        <v>1458</v>
      </c>
      <c r="I310" s="37">
        <v>1427</v>
      </c>
      <c r="J310" s="42">
        <v>592.59</v>
      </c>
      <c r="K310" s="5">
        <v>613.34</v>
      </c>
      <c r="L310" s="37">
        <v>355700</v>
      </c>
      <c r="M310" s="43">
        <v>237.76666666670002</v>
      </c>
      <c r="N310">
        <v>5</v>
      </c>
      <c r="O310" s="36">
        <f>Rådatakommune[[#This Row],[B16-O]]/Rådatakommune[[#This Row],[Landareal2016-O]]</f>
        <v>6.6724041917683383</v>
      </c>
      <c r="P310" s="36">
        <f>Rådatakommune[[#This Row],[B16-O]]/Rådatakommune[[#This Row],[Totalareal2016-O]]</f>
        <v>6.4466690579450221</v>
      </c>
      <c r="Q310" s="38">
        <f>Rådatakommune[[#This Row],[B16-O]]/Rådatakommune[[#This Row],[B06-O]]-1</f>
        <v>1.3066871637202215E-2</v>
      </c>
      <c r="R310" s="24">
        <f>Rådatakommune[[#This Row],[Kvinner20-39-O]]/Rådatakommune[[#This Row],[B16-O]]</f>
        <v>0.10318664643399089</v>
      </c>
      <c r="S310" s="24">
        <f>Rådatakommune[[#This Row],[Eldre67+-O]]/Rådatakommune[[#This Row],[B16-O]]</f>
        <v>0.19524532119372787</v>
      </c>
      <c r="T310" s="24">
        <f>Rådatakommune[[#This Row],[S15-O]]/Rådatakommune[[#This Row],[S05-O]]-1</f>
        <v>-2.1262002743484221E-2</v>
      </c>
      <c r="U310" s="24">
        <f>Rådatakommune[[#This Row],[Y15-O]]/Rådatakommune[[#This Row],[Folk20-64-O]]</f>
        <v>0.85918744228993538</v>
      </c>
    </row>
    <row r="311" spans="1:21" x14ac:dyDescent="0.3">
      <c r="A311" s="2" t="s">
        <v>309</v>
      </c>
      <c r="B311" s="37">
        <v>10632</v>
      </c>
      <c r="C311" s="37">
        <v>11779</v>
      </c>
      <c r="D311" s="37">
        <v>5742</v>
      </c>
      <c r="E311" s="40">
        <v>1850</v>
      </c>
      <c r="F311" s="41">
        <v>1345</v>
      </c>
      <c r="G311">
        <v>6704</v>
      </c>
      <c r="H311" s="46">
        <v>5395</v>
      </c>
      <c r="I311" s="37">
        <v>5891</v>
      </c>
      <c r="J311" s="42">
        <v>564.27</v>
      </c>
      <c r="K311" s="5">
        <v>594.31999999999994</v>
      </c>
      <c r="L311" s="37">
        <v>386300</v>
      </c>
      <c r="M311" s="43">
        <v>207.45</v>
      </c>
      <c r="N311">
        <v>5</v>
      </c>
      <c r="O311" s="36">
        <f>Rådatakommune[[#This Row],[B16-O]]/Rådatakommune[[#This Row],[Landareal2016-O]]</f>
        <v>20.874758537579527</v>
      </c>
      <c r="P311" s="36">
        <f>Rådatakommune[[#This Row],[B16-O]]/Rådatakommune[[#This Row],[Totalareal2016-O]]</f>
        <v>19.819289271772785</v>
      </c>
      <c r="Q311" s="38">
        <f>Rådatakommune[[#This Row],[B16-O]]/Rådatakommune[[#This Row],[B06-O]]-1</f>
        <v>0.10788186606471029</v>
      </c>
      <c r="R311" s="24">
        <f>Rådatakommune[[#This Row],[Kvinner20-39-O]]/Rådatakommune[[#This Row],[B16-O]]</f>
        <v>0.11418626368961711</v>
      </c>
      <c r="S311" s="24">
        <f>Rådatakommune[[#This Row],[Eldre67+-O]]/Rådatakommune[[#This Row],[B16-O]]</f>
        <v>0.15705917310467782</v>
      </c>
      <c r="T311" s="24">
        <f>Rådatakommune[[#This Row],[S15-O]]/Rådatakommune[[#This Row],[S05-O]]-1</f>
        <v>9.1936978683966553E-2</v>
      </c>
      <c r="U311" s="24">
        <f>Rådatakommune[[#This Row],[Y15-O]]/Rådatakommune[[#This Row],[Folk20-64-O]]</f>
        <v>0.85650357995226734</v>
      </c>
    </row>
    <row r="312" spans="1:21" x14ac:dyDescent="0.3">
      <c r="A312" s="2" t="s">
        <v>310</v>
      </c>
      <c r="B312" s="37">
        <v>5639</v>
      </c>
      <c r="C312" s="37">
        <v>5635</v>
      </c>
      <c r="D312" s="37">
        <v>2983</v>
      </c>
      <c r="E312" s="40">
        <v>1116</v>
      </c>
      <c r="F312" s="41">
        <v>590</v>
      </c>
      <c r="G312">
        <v>3180</v>
      </c>
      <c r="H312" s="46">
        <v>3262</v>
      </c>
      <c r="I312" s="37">
        <v>3283</v>
      </c>
      <c r="J312" s="42">
        <v>1756.16</v>
      </c>
      <c r="K312" s="5">
        <v>1956.46</v>
      </c>
      <c r="L312" s="37">
        <v>371000</v>
      </c>
      <c r="M312" s="43">
        <v>155.43333333332998</v>
      </c>
      <c r="N312">
        <v>9</v>
      </c>
      <c r="O312" s="36">
        <f>Rådatakommune[[#This Row],[B16-O]]/Rådatakommune[[#This Row],[Landareal2016-O]]</f>
        <v>3.2087053571428572</v>
      </c>
      <c r="P312" s="36">
        <f>Rådatakommune[[#This Row],[B16-O]]/Rådatakommune[[#This Row],[Totalareal2016-O]]</f>
        <v>2.880201997485254</v>
      </c>
      <c r="Q312" s="38">
        <f>Rådatakommune[[#This Row],[B16-O]]/Rådatakommune[[#This Row],[B06-O]]-1</f>
        <v>-7.093456286575428E-4</v>
      </c>
      <c r="R312" s="24">
        <f>Rådatakommune[[#This Row],[Kvinner20-39-O]]/Rådatakommune[[#This Row],[B16-O]]</f>
        <v>0.10470275066548358</v>
      </c>
      <c r="S312" s="24">
        <f>Rådatakommune[[#This Row],[Eldre67+-O]]/Rådatakommune[[#This Row],[B16-O]]</f>
        <v>0.19804791481810116</v>
      </c>
      <c r="T312" s="24">
        <f>Rådatakommune[[#This Row],[S15-O]]/Rådatakommune[[#This Row],[S05-O]]-1</f>
        <v>6.4377682403433667E-3</v>
      </c>
      <c r="U312" s="24">
        <f>Rådatakommune[[#This Row],[Y15-O]]/Rådatakommune[[#This Row],[Folk20-64-O]]</f>
        <v>0.93805031446540876</v>
      </c>
    </row>
    <row r="313" spans="1:21" x14ac:dyDescent="0.3">
      <c r="A313" s="2" t="s">
        <v>311</v>
      </c>
      <c r="B313" s="37">
        <v>2087</v>
      </c>
      <c r="C313" s="37">
        <v>2031</v>
      </c>
      <c r="D313" s="37">
        <v>976</v>
      </c>
      <c r="E313" s="40">
        <v>461</v>
      </c>
      <c r="F313" s="41">
        <v>198</v>
      </c>
      <c r="G313">
        <v>1088</v>
      </c>
      <c r="H313" s="46">
        <v>726</v>
      </c>
      <c r="I313" s="37">
        <v>613</v>
      </c>
      <c r="J313" s="42">
        <v>1171.47</v>
      </c>
      <c r="K313" s="5">
        <v>1209.5</v>
      </c>
      <c r="L313" s="37">
        <v>351500</v>
      </c>
      <c r="M313" s="43">
        <v>180.28333333329999</v>
      </c>
      <c r="N313">
        <v>9</v>
      </c>
      <c r="O313" s="36">
        <f>Rådatakommune[[#This Row],[B16-O]]/Rådatakommune[[#This Row],[Landareal2016-O]]</f>
        <v>1.7337191733463084</v>
      </c>
      <c r="P313" s="36">
        <f>Rådatakommune[[#This Row],[B16-O]]/Rådatakommune[[#This Row],[Totalareal2016-O]]</f>
        <v>1.6792062835882595</v>
      </c>
      <c r="Q313" s="38">
        <f>Rådatakommune[[#This Row],[B16-O]]/Rådatakommune[[#This Row],[B06-O]]-1</f>
        <v>-2.6832774317201769E-2</v>
      </c>
      <c r="R313" s="24">
        <f>Rådatakommune[[#This Row],[Kvinner20-39-O]]/Rådatakommune[[#This Row],[B16-O]]</f>
        <v>9.7488921713441659E-2</v>
      </c>
      <c r="S313" s="24">
        <f>Rådatakommune[[#This Row],[Eldre67+-O]]/Rådatakommune[[#This Row],[B16-O]]</f>
        <v>0.22698178237321517</v>
      </c>
      <c r="T313" s="24">
        <f>Rådatakommune[[#This Row],[S15-O]]/Rådatakommune[[#This Row],[S05-O]]-1</f>
        <v>-0.15564738292011016</v>
      </c>
      <c r="U313" s="24">
        <f>Rådatakommune[[#This Row],[Y15-O]]/Rådatakommune[[#This Row],[Folk20-64-O]]</f>
        <v>0.8970588235294118</v>
      </c>
    </row>
    <row r="314" spans="1:21" x14ac:dyDescent="0.3">
      <c r="A314" s="2" t="s">
        <v>312</v>
      </c>
      <c r="B314" s="37">
        <v>5873</v>
      </c>
      <c r="C314" s="37">
        <v>6298</v>
      </c>
      <c r="D314" s="37">
        <v>3333</v>
      </c>
      <c r="E314" s="40">
        <v>1052</v>
      </c>
      <c r="F314" s="41">
        <v>766</v>
      </c>
      <c r="G314">
        <v>3622</v>
      </c>
      <c r="H314" s="46">
        <v>2757</v>
      </c>
      <c r="I314" s="37">
        <v>3051</v>
      </c>
      <c r="J314" s="42">
        <v>1807.17</v>
      </c>
      <c r="K314" s="5">
        <v>1860.51</v>
      </c>
      <c r="L314" s="37">
        <v>360500</v>
      </c>
      <c r="M314" s="43">
        <v>217.51666666669999</v>
      </c>
      <c r="N314">
        <v>2</v>
      </c>
      <c r="O314" s="36">
        <f>Rådatakommune[[#This Row],[B16-O]]/Rådatakommune[[#This Row],[Landareal2016-O]]</f>
        <v>3.4850069445597258</v>
      </c>
      <c r="P314" s="36">
        <f>Rådatakommune[[#This Row],[B16-O]]/Rådatakommune[[#This Row],[Totalareal2016-O]]</f>
        <v>3.3850933346233023</v>
      </c>
      <c r="Q314" s="38">
        <f>Rådatakommune[[#This Row],[B16-O]]/Rådatakommune[[#This Row],[B06-O]]-1</f>
        <v>7.2365060446109242E-2</v>
      </c>
      <c r="R314" s="24">
        <f>Rådatakommune[[#This Row],[Kvinner20-39-O]]/Rådatakommune[[#This Row],[B16-O]]</f>
        <v>0.12162591298825023</v>
      </c>
      <c r="S314" s="24">
        <f>Rådatakommune[[#This Row],[Eldre67+-O]]/Rådatakommune[[#This Row],[B16-O]]</f>
        <v>0.16703715465227056</v>
      </c>
      <c r="T314" s="24">
        <f>Rådatakommune[[#This Row],[S15-O]]/Rådatakommune[[#This Row],[S05-O]]-1</f>
        <v>0.10663764961915123</v>
      </c>
      <c r="U314" s="24">
        <f>Rådatakommune[[#This Row],[Y15-O]]/Rådatakommune[[#This Row],[Folk20-64-O]]</f>
        <v>0.92020982882385427</v>
      </c>
    </row>
    <row r="315" spans="1:21" x14ac:dyDescent="0.3">
      <c r="A315" s="2" t="s">
        <v>313</v>
      </c>
      <c r="B315" s="37">
        <v>14176</v>
      </c>
      <c r="C315" s="37">
        <v>16096</v>
      </c>
      <c r="D315" s="37">
        <v>8135</v>
      </c>
      <c r="E315" s="40">
        <v>2260</v>
      </c>
      <c r="F315" s="41">
        <v>1978</v>
      </c>
      <c r="G315">
        <v>9214</v>
      </c>
      <c r="H315" s="46">
        <v>4122</v>
      </c>
      <c r="I315" s="37">
        <v>4801</v>
      </c>
      <c r="J315" s="42">
        <v>653.78</v>
      </c>
      <c r="K315" s="5">
        <v>693.82999999999993</v>
      </c>
      <c r="L315" s="37">
        <v>391300</v>
      </c>
      <c r="M315" s="43">
        <v>192.0666666667</v>
      </c>
      <c r="N315">
        <v>2</v>
      </c>
      <c r="O315" s="36">
        <f>Rådatakommune[[#This Row],[B16-O]]/Rådatakommune[[#This Row],[Landareal2016-O]]</f>
        <v>24.619902719569275</v>
      </c>
      <c r="P315" s="36">
        <f>Rådatakommune[[#This Row],[B16-O]]/Rådatakommune[[#This Row],[Totalareal2016-O]]</f>
        <v>23.198766268394277</v>
      </c>
      <c r="Q315" s="38">
        <f>Rådatakommune[[#This Row],[B16-O]]/Rådatakommune[[#This Row],[B06-O]]-1</f>
        <v>0.13544018058690743</v>
      </c>
      <c r="R315" s="24">
        <f>Rådatakommune[[#This Row],[Kvinner20-39-O]]/Rådatakommune[[#This Row],[B16-O]]</f>
        <v>0.12288767395626242</v>
      </c>
      <c r="S315" s="24">
        <f>Rådatakommune[[#This Row],[Eldre67+-O]]/Rådatakommune[[#This Row],[B16-O]]</f>
        <v>0.14040755467196819</v>
      </c>
      <c r="T315" s="24">
        <f>Rådatakommune[[#This Row],[S15-O]]/Rådatakommune[[#This Row],[S05-O]]-1</f>
        <v>0.1647258612324114</v>
      </c>
      <c r="U315" s="24">
        <f>Rådatakommune[[#This Row],[Y15-O]]/Rådatakommune[[#This Row],[Folk20-64-O]]</f>
        <v>0.88289559366181902</v>
      </c>
    </row>
    <row r="316" spans="1:21" x14ac:dyDescent="0.3">
      <c r="A316" s="2" t="s">
        <v>314</v>
      </c>
      <c r="B316" s="37">
        <v>6146</v>
      </c>
      <c r="C316" s="37">
        <v>7755</v>
      </c>
      <c r="D316" s="37">
        <v>3920</v>
      </c>
      <c r="E316" s="40">
        <v>945</v>
      </c>
      <c r="F316" s="41">
        <v>996</v>
      </c>
      <c r="G316">
        <v>4423</v>
      </c>
      <c r="H316" s="46">
        <v>1227</v>
      </c>
      <c r="I316" s="37">
        <v>1526</v>
      </c>
      <c r="J316" s="42">
        <v>213.11</v>
      </c>
      <c r="K316" s="5">
        <v>224.21</v>
      </c>
      <c r="L316" s="37">
        <v>396500</v>
      </c>
      <c r="M316" s="43">
        <v>198.75</v>
      </c>
      <c r="N316">
        <v>2</v>
      </c>
      <c r="O316" s="36">
        <f>Rådatakommune[[#This Row],[B16-O]]/Rådatakommune[[#This Row],[Landareal2016-O]]</f>
        <v>36.38965792313828</v>
      </c>
      <c r="P316" s="36">
        <f>Rådatakommune[[#This Row],[B16-O]]/Rådatakommune[[#This Row],[Totalareal2016-O]]</f>
        <v>34.588109361759066</v>
      </c>
      <c r="Q316" s="38">
        <f>Rådatakommune[[#This Row],[B16-O]]/Rådatakommune[[#This Row],[B06-O]]-1</f>
        <v>0.26179629027009432</v>
      </c>
      <c r="R316" s="24">
        <f>Rådatakommune[[#This Row],[Kvinner20-39-O]]/Rådatakommune[[#This Row],[B16-O]]</f>
        <v>0.12843326885880077</v>
      </c>
      <c r="S316" s="24">
        <f>Rådatakommune[[#This Row],[Eldre67+-O]]/Rådatakommune[[#This Row],[B16-O]]</f>
        <v>0.1218568665377176</v>
      </c>
      <c r="T316" s="24">
        <f>Rådatakommune[[#This Row],[S15-O]]/Rådatakommune[[#This Row],[S05-O]]-1</f>
        <v>0.24368378158109216</v>
      </c>
      <c r="U316" s="24">
        <f>Rådatakommune[[#This Row],[Y15-O]]/Rådatakommune[[#This Row],[Folk20-64-O]]</f>
        <v>0.88627628306579243</v>
      </c>
    </row>
    <row r="317" spans="1:21" x14ac:dyDescent="0.3">
      <c r="A317" s="2" t="s">
        <v>315</v>
      </c>
      <c r="B317" s="37">
        <v>5353</v>
      </c>
      <c r="C317" s="37">
        <v>6067</v>
      </c>
      <c r="D317" s="37">
        <v>3087</v>
      </c>
      <c r="E317" s="40">
        <v>655</v>
      </c>
      <c r="F317" s="41">
        <v>762</v>
      </c>
      <c r="G317">
        <v>3488</v>
      </c>
      <c r="H317" s="46">
        <v>1157</v>
      </c>
      <c r="I317" s="37">
        <v>1229</v>
      </c>
      <c r="J317" s="42">
        <v>175.06</v>
      </c>
      <c r="K317" s="5">
        <v>186.36</v>
      </c>
      <c r="L317" s="37">
        <v>401600</v>
      </c>
      <c r="M317" s="43">
        <v>187.5</v>
      </c>
      <c r="N317">
        <v>2</v>
      </c>
      <c r="O317" s="36">
        <f>Rådatakommune[[#This Row],[B16-O]]/Rådatakommune[[#This Row],[Landareal2016-O]]</f>
        <v>34.656689135153663</v>
      </c>
      <c r="P317" s="36">
        <f>Rådatakommune[[#This Row],[B16-O]]/Rådatakommune[[#This Row],[Totalareal2016-O]]</f>
        <v>32.555269371109681</v>
      </c>
      <c r="Q317" s="38">
        <f>Rådatakommune[[#This Row],[B16-O]]/Rådatakommune[[#This Row],[B06-O]]-1</f>
        <v>0.13338314963571829</v>
      </c>
      <c r="R317" s="24">
        <f>Rådatakommune[[#This Row],[Kvinner20-39-O]]/Rådatakommune[[#This Row],[B16-O]]</f>
        <v>0.12559749464315148</v>
      </c>
      <c r="S317" s="24">
        <f>Rådatakommune[[#This Row],[Eldre67+-O]]/Rådatakommune[[#This Row],[B16-O]]</f>
        <v>0.10796110103840448</v>
      </c>
      <c r="T317" s="24">
        <f>Rådatakommune[[#This Row],[S15-O]]/Rådatakommune[[#This Row],[S05-O]]-1</f>
        <v>6.2229904926534241E-2</v>
      </c>
      <c r="U317" s="24">
        <f>Rådatakommune[[#This Row],[Y15-O]]/Rådatakommune[[#This Row],[Folk20-64-O]]</f>
        <v>0.88503440366972475</v>
      </c>
    </row>
    <row r="318" spans="1:21" x14ac:dyDescent="0.3">
      <c r="A318" s="2" t="s">
        <v>316</v>
      </c>
      <c r="B318" s="37">
        <v>12213</v>
      </c>
      <c r="C318" s="37">
        <v>13738</v>
      </c>
      <c r="D318" s="37">
        <v>6960</v>
      </c>
      <c r="E318" s="40">
        <v>1564</v>
      </c>
      <c r="F318" s="41">
        <v>1648</v>
      </c>
      <c r="G318">
        <v>8058</v>
      </c>
      <c r="H318" s="46">
        <v>2673</v>
      </c>
      <c r="I318" s="37">
        <v>3369</v>
      </c>
      <c r="J318" s="42">
        <v>161.88</v>
      </c>
      <c r="K318" s="5">
        <v>168.44</v>
      </c>
      <c r="L318" s="37">
        <v>429400</v>
      </c>
      <c r="M318" s="43">
        <v>162.83333333333002</v>
      </c>
      <c r="N318">
        <v>2</v>
      </c>
      <c r="O318" s="36">
        <f>Rådatakommune[[#This Row],[B16-O]]/Rådatakommune[[#This Row],[Landareal2016-O]]</f>
        <v>84.865332344946879</v>
      </c>
      <c r="P318" s="36">
        <f>Rådatakommune[[#This Row],[B16-O]]/Rådatakommune[[#This Row],[Totalareal2016-O]]</f>
        <v>81.560199477558783</v>
      </c>
      <c r="Q318" s="38">
        <f>Rådatakommune[[#This Row],[B16-O]]/Rådatakommune[[#This Row],[B06-O]]-1</f>
        <v>0.12486694505854423</v>
      </c>
      <c r="R318" s="24">
        <f>Rådatakommune[[#This Row],[Kvinner20-39-O]]/Rådatakommune[[#This Row],[B16-O]]</f>
        <v>0.11995923715242393</v>
      </c>
      <c r="S318" s="24">
        <f>Rådatakommune[[#This Row],[Eldre67+-O]]/Rådatakommune[[#This Row],[B16-O]]</f>
        <v>0.11384481001601397</v>
      </c>
      <c r="T318" s="24">
        <f>Rådatakommune[[#This Row],[S15-O]]/Rådatakommune[[#This Row],[S05-O]]-1</f>
        <v>0.26038159371492697</v>
      </c>
      <c r="U318" s="24">
        <f>Rådatakommune[[#This Row],[Y15-O]]/Rådatakommune[[#This Row],[Folk20-64-O]]</f>
        <v>0.86373790022338048</v>
      </c>
    </row>
    <row r="319" spans="1:21" x14ac:dyDescent="0.3">
      <c r="A319" s="2" t="s">
        <v>317</v>
      </c>
      <c r="B319" s="37">
        <v>3940</v>
      </c>
      <c r="C319" s="37">
        <v>4132</v>
      </c>
      <c r="D319" s="37">
        <v>2076</v>
      </c>
      <c r="E319" s="40">
        <v>784</v>
      </c>
      <c r="F319" s="41">
        <v>417</v>
      </c>
      <c r="G319">
        <v>2269</v>
      </c>
      <c r="H319" s="46">
        <v>1593</v>
      </c>
      <c r="I319" s="37">
        <v>1590</v>
      </c>
      <c r="J319" s="42">
        <v>1140.8800000000001</v>
      </c>
      <c r="K319" s="5">
        <v>1234.8400000000001</v>
      </c>
      <c r="L319" s="37">
        <v>368800</v>
      </c>
      <c r="M319" s="43">
        <v>186.35</v>
      </c>
      <c r="N319">
        <v>2</v>
      </c>
      <c r="O319" s="36">
        <f>Rådatakommune[[#This Row],[B16-O]]/Rådatakommune[[#This Row],[Landareal2016-O]]</f>
        <v>3.6217656545824273</v>
      </c>
      <c r="P319" s="36">
        <f>Rådatakommune[[#This Row],[B16-O]]/Rådatakommune[[#This Row],[Totalareal2016-O]]</f>
        <v>3.3461825013766964</v>
      </c>
      <c r="Q319" s="38">
        <f>Rådatakommune[[#This Row],[B16-O]]/Rådatakommune[[#This Row],[B06-O]]-1</f>
        <v>4.8730964467005089E-2</v>
      </c>
      <c r="R319" s="24">
        <f>Rådatakommune[[#This Row],[Kvinner20-39-O]]/Rådatakommune[[#This Row],[B16-O]]</f>
        <v>0.10091965150048403</v>
      </c>
      <c r="S319" s="24">
        <f>Rådatakommune[[#This Row],[Eldre67+-O]]/Rådatakommune[[#This Row],[B16-O]]</f>
        <v>0.18973862536302033</v>
      </c>
      <c r="T319" s="24">
        <f>Rådatakommune[[#This Row],[S15-O]]/Rådatakommune[[#This Row],[S05-O]]-1</f>
        <v>-1.8832391713747842E-3</v>
      </c>
      <c r="U319" s="24">
        <f>Rådatakommune[[#This Row],[Y15-O]]/Rådatakommune[[#This Row],[Folk20-64-O]]</f>
        <v>0.91494050242397529</v>
      </c>
    </row>
    <row r="320" spans="1:21" x14ac:dyDescent="0.3">
      <c r="A320" s="2" t="s">
        <v>318</v>
      </c>
      <c r="B320" s="37">
        <v>874</v>
      </c>
      <c r="C320" s="37">
        <v>851</v>
      </c>
      <c r="D320" s="37">
        <v>464</v>
      </c>
      <c r="E320" s="40">
        <v>198</v>
      </c>
      <c r="F320" s="41">
        <v>91</v>
      </c>
      <c r="G320">
        <v>480</v>
      </c>
      <c r="H320" s="46">
        <v>365</v>
      </c>
      <c r="I320" s="37">
        <v>378</v>
      </c>
      <c r="J320" s="42">
        <v>1217.06</v>
      </c>
      <c r="K320" s="5">
        <v>1329.21</v>
      </c>
      <c r="L320" s="37">
        <v>353600</v>
      </c>
      <c r="M320" s="43">
        <v>204.9</v>
      </c>
      <c r="N320">
        <v>11</v>
      </c>
      <c r="O320" s="36">
        <f>Rådatakommune[[#This Row],[B16-O]]/Rådatakommune[[#This Row],[Landareal2016-O]]</f>
        <v>0.6992260036481357</v>
      </c>
      <c r="P320" s="36">
        <f>Rådatakommune[[#This Row],[B16-O]]/Rådatakommune[[#This Row],[Totalareal2016-O]]</f>
        <v>0.64022991099976678</v>
      </c>
      <c r="Q320" s="38">
        <f>Rådatakommune[[#This Row],[B16-O]]/Rådatakommune[[#This Row],[B06-O]]-1</f>
        <v>-2.6315789473684181E-2</v>
      </c>
      <c r="R320" s="24">
        <f>Rådatakommune[[#This Row],[Kvinner20-39-O]]/Rådatakommune[[#This Row],[B16-O]]</f>
        <v>0.10693301997649823</v>
      </c>
      <c r="S320" s="24">
        <f>Rådatakommune[[#This Row],[Eldre67+-O]]/Rådatakommune[[#This Row],[B16-O]]</f>
        <v>0.23266745005875442</v>
      </c>
      <c r="T320" s="24">
        <f>Rådatakommune[[#This Row],[S15-O]]/Rådatakommune[[#This Row],[S05-O]]-1</f>
        <v>3.5616438356164348E-2</v>
      </c>
      <c r="U320" s="24">
        <f>Rådatakommune[[#This Row],[Y15-O]]/Rådatakommune[[#This Row],[Folk20-64-O]]</f>
        <v>0.96666666666666667</v>
      </c>
    </row>
    <row r="321" spans="1:21" x14ac:dyDescent="0.3">
      <c r="A321" s="2" t="s">
        <v>319</v>
      </c>
      <c r="B321" s="37">
        <v>20477</v>
      </c>
      <c r="C321" s="37">
        <v>21781</v>
      </c>
      <c r="D321" s="37">
        <v>10435</v>
      </c>
      <c r="E321" s="40">
        <v>3822</v>
      </c>
      <c r="F321" s="41">
        <v>2428</v>
      </c>
      <c r="G321">
        <v>12197</v>
      </c>
      <c r="H321" s="46">
        <v>9713</v>
      </c>
      <c r="I321" s="37">
        <v>10554</v>
      </c>
      <c r="J321" s="42">
        <v>1422.7</v>
      </c>
      <c r="K321" s="5">
        <v>1564.41</v>
      </c>
      <c r="L321" s="37">
        <v>367000</v>
      </c>
      <c r="M321" s="43">
        <v>227.3</v>
      </c>
      <c r="N321">
        <v>6</v>
      </c>
      <c r="O321" s="36">
        <f>Rådatakommune[[#This Row],[B16-O]]/Rådatakommune[[#This Row],[Landareal2016-O]]</f>
        <v>15.309622548675055</v>
      </c>
      <c r="P321" s="36">
        <f>Rådatakommune[[#This Row],[B16-O]]/Rådatakommune[[#This Row],[Totalareal2016-O]]</f>
        <v>13.922820743922628</v>
      </c>
      <c r="Q321" s="38">
        <f>Rådatakommune[[#This Row],[B16-O]]/Rådatakommune[[#This Row],[B06-O]]-1</f>
        <v>6.368120330126481E-2</v>
      </c>
      <c r="R321" s="24">
        <f>Rådatakommune[[#This Row],[Kvinner20-39-O]]/Rådatakommune[[#This Row],[B16-O]]</f>
        <v>0.11147330241953997</v>
      </c>
      <c r="S321" s="24">
        <f>Rådatakommune[[#This Row],[Eldre67+-O]]/Rådatakommune[[#This Row],[B16-O]]</f>
        <v>0.17547403700472888</v>
      </c>
      <c r="T321" s="24">
        <f>Rådatakommune[[#This Row],[S15-O]]/Rådatakommune[[#This Row],[S05-O]]-1</f>
        <v>8.6584989189745665E-2</v>
      </c>
      <c r="U321" s="24">
        <f>Rådatakommune[[#This Row],[Y15-O]]/Rådatakommune[[#This Row],[Folk20-64-O]]</f>
        <v>0.85553824710994508</v>
      </c>
    </row>
    <row r="322" spans="1:21" x14ac:dyDescent="0.3">
      <c r="A322" s="2" t="s">
        <v>320</v>
      </c>
      <c r="B322" s="37">
        <v>12574</v>
      </c>
      <c r="C322" s="37">
        <v>13010</v>
      </c>
      <c r="D322" s="37">
        <v>6361</v>
      </c>
      <c r="E322" s="40">
        <v>2016</v>
      </c>
      <c r="F322" s="41">
        <v>1561</v>
      </c>
      <c r="G322">
        <v>7309</v>
      </c>
      <c r="H322" s="46">
        <v>6515</v>
      </c>
      <c r="I322" s="37">
        <v>6804</v>
      </c>
      <c r="J322" s="42">
        <v>751.12</v>
      </c>
      <c r="K322" s="5">
        <v>777.21</v>
      </c>
      <c r="L322" s="37">
        <v>374600</v>
      </c>
      <c r="M322" s="43">
        <v>214.6</v>
      </c>
      <c r="N322">
        <v>6</v>
      </c>
      <c r="O322" s="36">
        <f>Rådatakommune[[#This Row],[B16-O]]/Rådatakommune[[#This Row],[Landareal2016-O]]</f>
        <v>17.320800937267016</v>
      </c>
      <c r="P322" s="36">
        <f>Rådatakommune[[#This Row],[B16-O]]/Rådatakommune[[#This Row],[Totalareal2016-O]]</f>
        <v>16.739362591834897</v>
      </c>
      <c r="Q322" s="38">
        <f>Rådatakommune[[#This Row],[B16-O]]/Rådatakommune[[#This Row],[B06-O]]-1</f>
        <v>3.467472562430407E-2</v>
      </c>
      <c r="R322" s="24">
        <f>Rådatakommune[[#This Row],[Kvinner20-39-O]]/Rådatakommune[[#This Row],[B16-O]]</f>
        <v>0.11998462720983859</v>
      </c>
      <c r="S322" s="24">
        <f>Rådatakommune[[#This Row],[Eldre67+-O]]/Rådatakommune[[#This Row],[B16-O]]</f>
        <v>0.15495772482705611</v>
      </c>
      <c r="T322" s="24">
        <f>Rådatakommune[[#This Row],[S15-O]]/Rådatakommune[[#This Row],[S05-O]]-1</f>
        <v>4.4359171143514953E-2</v>
      </c>
      <c r="U322" s="24">
        <f>Rådatakommune[[#This Row],[Y15-O]]/Rådatakommune[[#This Row],[Folk20-64-O]]</f>
        <v>0.87029689423997814</v>
      </c>
    </row>
    <row r="323" spans="1:21" x14ac:dyDescent="0.3">
      <c r="A323" s="2" t="s">
        <v>321</v>
      </c>
      <c r="B323" s="37">
        <v>2531</v>
      </c>
      <c r="C323" s="37">
        <v>2523</v>
      </c>
      <c r="D323" s="37">
        <v>1140</v>
      </c>
      <c r="E323" s="40">
        <v>498</v>
      </c>
      <c r="F323" s="41">
        <v>268</v>
      </c>
      <c r="G323">
        <v>1381</v>
      </c>
      <c r="H323" s="46">
        <v>1021</v>
      </c>
      <c r="I323" s="37">
        <v>946</v>
      </c>
      <c r="J323" s="42">
        <v>1188.28</v>
      </c>
      <c r="K323" s="5">
        <v>1273.42</v>
      </c>
      <c r="L323" s="37">
        <v>322500</v>
      </c>
      <c r="M323" s="43">
        <v>197.0833333333</v>
      </c>
      <c r="N323">
        <v>5</v>
      </c>
      <c r="O323" s="36">
        <f>Rådatakommune[[#This Row],[B16-O]]/Rådatakommune[[#This Row],[Landareal2016-O]]</f>
        <v>2.1232369475207862</v>
      </c>
      <c r="P323" s="36">
        <f>Rådatakommune[[#This Row],[B16-O]]/Rådatakommune[[#This Row],[Totalareal2016-O]]</f>
        <v>1.9812787611314413</v>
      </c>
      <c r="Q323" s="38">
        <f>Rådatakommune[[#This Row],[B16-O]]/Rådatakommune[[#This Row],[B06-O]]-1</f>
        <v>-3.1608060055313691E-3</v>
      </c>
      <c r="R323" s="24">
        <f>Rådatakommune[[#This Row],[Kvinner20-39-O]]/Rådatakommune[[#This Row],[B16-O]]</f>
        <v>0.10622275069361871</v>
      </c>
      <c r="S323" s="24">
        <f>Rådatakommune[[#This Row],[Eldre67+-O]]/Rådatakommune[[#This Row],[B16-O]]</f>
        <v>0.19738406658739596</v>
      </c>
      <c r="T323" s="24">
        <f>Rådatakommune[[#This Row],[S15-O]]/Rådatakommune[[#This Row],[S05-O]]-1</f>
        <v>-7.3457394711067603E-2</v>
      </c>
      <c r="U323" s="24">
        <f>Rådatakommune[[#This Row],[Y15-O]]/Rådatakommune[[#This Row],[Folk20-64-O]]</f>
        <v>0.82548877624909489</v>
      </c>
    </row>
    <row r="324" spans="1:21" x14ac:dyDescent="0.3">
      <c r="A324" s="2" t="s">
        <v>322</v>
      </c>
      <c r="B324" s="37">
        <v>19892</v>
      </c>
      <c r="C324" s="37">
        <v>23308</v>
      </c>
      <c r="D324" s="37">
        <v>11402</v>
      </c>
      <c r="E324" s="40">
        <v>3431</v>
      </c>
      <c r="F324" s="41">
        <v>2672</v>
      </c>
      <c r="G324">
        <v>13214</v>
      </c>
      <c r="H324" s="46">
        <v>8859</v>
      </c>
      <c r="I324" s="37">
        <v>10819</v>
      </c>
      <c r="J324" s="42">
        <v>913.66</v>
      </c>
      <c r="K324" s="5">
        <v>938.19999999999993</v>
      </c>
      <c r="L324" s="37">
        <v>395900</v>
      </c>
      <c r="M324" s="43">
        <v>157.71666666666999</v>
      </c>
      <c r="N324">
        <v>2</v>
      </c>
      <c r="O324" s="36">
        <f>Rådatakommune[[#This Row],[B16-O]]/Rådatakommune[[#This Row],[Landareal2016-O]]</f>
        <v>25.510583805792091</v>
      </c>
      <c r="P324" s="36">
        <f>Rådatakommune[[#This Row],[B16-O]]/Rådatakommune[[#This Row],[Totalareal2016-O]]</f>
        <v>24.843316989980817</v>
      </c>
      <c r="Q324" s="38">
        <f>Rådatakommune[[#This Row],[B16-O]]/Rådatakommune[[#This Row],[B06-O]]-1</f>
        <v>0.17172732756887199</v>
      </c>
      <c r="R324" s="24">
        <f>Rådatakommune[[#This Row],[Kvinner20-39-O]]/Rådatakommune[[#This Row],[B16-O]]</f>
        <v>0.11463875064355586</v>
      </c>
      <c r="S324" s="24">
        <f>Rådatakommune[[#This Row],[Eldre67+-O]]/Rådatakommune[[#This Row],[B16-O]]</f>
        <v>0.14720267719238031</v>
      </c>
      <c r="T324" s="24">
        <f>Rådatakommune[[#This Row],[S15-O]]/Rådatakommune[[#This Row],[S05-O]]-1</f>
        <v>0.22124393272378362</v>
      </c>
      <c r="U324" s="24">
        <f>Rådatakommune[[#This Row],[Y15-O]]/Rådatakommune[[#This Row],[Folk20-64-O]]</f>
        <v>0.86287271076131378</v>
      </c>
    </row>
    <row r="325" spans="1:21" x14ac:dyDescent="0.3">
      <c r="A325" s="2" t="s">
        <v>323</v>
      </c>
      <c r="B325" s="37">
        <v>2467</v>
      </c>
      <c r="C325" s="37">
        <v>2631</v>
      </c>
      <c r="D325" s="37">
        <v>1182</v>
      </c>
      <c r="E325" s="40">
        <v>495</v>
      </c>
      <c r="F325" s="41">
        <v>280</v>
      </c>
      <c r="G325">
        <v>1420</v>
      </c>
      <c r="H325" s="46">
        <v>872</v>
      </c>
      <c r="I325" s="37">
        <v>885</v>
      </c>
      <c r="J325" s="42">
        <v>74.28</v>
      </c>
      <c r="K325" s="5">
        <v>76.320000000000007</v>
      </c>
      <c r="L325" s="37">
        <v>336500</v>
      </c>
      <c r="M325" s="43">
        <v>190.23333333330001</v>
      </c>
      <c r="N325">
        <v>5</v>
      </c>
      <c r="O325" s="36">
        <f>Rådatakommune[[#This Row],[B16-O]]/Rådatakommune[[#This Row],[Landareal2016-O]]</f>
        <v>35.420032310177703</v>
      </c>
      <c r="P325" s="36">
        <f>Rådatakommune[[#This Row],[B16-O]]/Rådatakommune[[#This Row],[Totalareal2016-O]]</f>
        <v>34.473270440251568</v>
      </c>
      <c r="Q325" s="38">
        <f>Rådatakommune[[#This Row],[B16-O]]/Rådatakommune[[#This Row],[B06-O]]-1</f>
        <v>6.6477503040129671E-2</v>
      </c>
      <c r="R325" s="24">
        <f>Rådatakommune[[#This Row],[Kvinner20-39-O]]/Rådatakommune[[#This Row],[B16-O]]</f>
        <v>0.1064234131508932</v>
      </c>
      <c r="S325" s="24">
        <f>Rådatakommune[[#This Row],[Eldre67+-O]]/Rådatakommune[[#This Row],[B16-O]]</f>
        <v>0.18814139110604333</v>
      </c>
      <c r="T325" s="24">
        <f>Rådatakommune[[#This Row],[S15-O]]/Rådatakommune[[#This Row],[S05-O]]-1</f>
        <v>1.4908256880733939E-2</v>
      </c>
      <c r="U325" s="24">
        <f>Rådatakommune[[#This Row],[Y15-O]]/Rådatakommune[[#This Row],[Folk20-64-O]]</f>
        <v>0.8323943661971831</v>
      </c>
    </row>
    <row r="326" spans="1:21" x14ac:dyDescent="0.3">
      <c r="A326" s="2" t="s">
        <v>324</v>
      </c>
      <c r="B326" s="37">
        <v>3496</v>
      </c>
      <c r="C326" s="37">
        <v>3531</v>
      </c>
      <c r="D326" s="37">
        <v>1657</v>
      </c>
      <c r="E326" s="40">
        <v>670</v>
      </c>
      <c r="F326" s="41">
        <v>374</v>
      </c>
      <c r="G326">
        <v>1880</v>
      </c>
      <c r="H326" s="46">
        <v>1468</v>
      </c>
      <c r="I326" s="37">
        <v>1448</v>
      </c>
      <c r="J326" s="42">
        <v>399.69</v>
      </c>
      <c r="K326" s="5">
        <v>430.21</v>
      </c>
      <c r="L326" s="37">
        <v>360300</v>
      </c>
      <c r="M326" s="43">
        <v>250.48333333329998</v>
      </c>
      <c r="N326">
        <v>2</v>
      </c>
      <c r="O326" s="36">
        <f>Rådatakommune[[#This Row],[B16-O]]/Rådatakommune[[#This Row],[Landareal2016-O]]</f>
        <v>8.8343466186294375</v>
      </c>
      <c r="P326" s="36">
        <f>Rådatakommune[[#This Row],[B16-O]]/Rådatakommune[[#This Row],[Totalareal2016-O]]</f>
        <v>8.2076195346458718</v>
      </c>
      <c r="Q326" s="38">
        <f>Rådatakommune[[#This Row],[B16-O]]/Rådatakommune[[#This Row],[B06-O]]-1</f>
        <v>1.0011441647597152E-2</v>
      </c>
      <c r="R326" s="24">
        <f>Rådatakommune[[#This Row],[Kvinner20-39-O]]/Rådatakommune[[#This Row],[B16-O]]</f>
        <v>0.1059190031152648</v>
      </c>
      <c r="S326" s="24">
        <f>Rådatakommune[[#This Row],[Eldre67+-O]]/Rådatakommune[[#This Row],[B16-O]]</f>
        <v>0.18974794675729256</v>
      </c>
      <c r="T326" s="24">
        <f>Rådatakommune[[#This Row],[S15-O]]/Rådatakommune[[#This Row],[S05-O]]-1</f>
        <v>-1.3623978201634857E-2</v>
      </c>
      <c r="U326" s="24">
        <f>Rådatakommune[[#This Row],[Y15-O]]/Rådatakommune[[#This Row],[Folk20-64-O]]</f>
        <v>0.88138297872340421</v>
      </c>
    </row>
    <row r="327" spans="1:21" x14ac:dyDescent="0.3">
      <c r="A327" s="2" t="s">
        <v>325</v>
      </c>
      <c r="B327" s="37">
        <v>18080</v>
      </c>
      <c r="C327" s="37">
        <v>19610</v>
      </c>
      <c r="D327" s="37">
        <v>9805</v>
      </c>
      <c r="E327" s="40">
        <v>2928</v>
      </c>
      <c r="F327" s="41">
        <v>2434</v>
      </c>
      <c r="G327">
        <v>11302</v>
      </c>
      <c r="H327" s="46">
        <v>8528</v>
      </c>
      <c r="I327" s="37">
        <v>9528</v>
      </c>
      <c r="J327" s="42">
        <v>610.41</v>
      </c>
      <c r="K327" s="5">
        <v>645.79</v>
      </c>
      <c r="L327" s="37">
        <v>382200</v>
      </c>
      <c r="M327" s="43">
        <v>195.25</v>
      </c>
      <c r="N327">
        <v>5</v>
      </c>
      <c r="O327" s="36">
        <f>Rådatakommune[[#This Row],[B16-O]]/Rådatakommune[[#This Row],[Landareal2016-O]]</f>
        <v>32.125948133221932</v>
      </c>
      <c r="P327" s="36">
        <f>Rådatakommune[[#This Row],[B16-O]]/Rådatakommune[[#This Row],[Totalareal2016-O]]</f>
        <v>30.365908422242526</v>
      </c>
      <c r="Q327" s="38">
        <f>Rådatakommune[[#This Row],[B16-O]]/Rådatakommune[[#This Row],[B06-O]]-1</f>
        <v>8.4623893805309658E-2</v>
      </c>
      <c r="R327" s="24">
        <f>Rådatakommune[[#This Row],[Kvinner20-39-O]]/Rådatakommune[[#This Row],[B16-O]]</f>
        <v>0.1241203467618562</v>
      </c>
      <c r="S327" s="24">
        <f>Rådatakommune[[#This Row],[Eldre67+-O]]/Rådatakommune[[#This Row],[B16-O]]</f>
        <v>0.14931157572667006</v>
      </c>
      <c r="T327" s="24">
        <f>Rådatakommune[[#This Row],[S15-O]]/Rådatakommune[[#This Row],[S05-O]]-1</f>
        <v>0.1172607879924954</v>
      </c>
      <c r="U327" s="24">
        <f>Rådatakommune[[#This Row],[Y15-O]]/Rådatakommune[[#This Row],[Folk20-64-O]]</f>
        <v>0.86754556715625553</v>
      </c>
    </row>
    <row r="328" spans="1:21" x14ac:dyDescent="0.3">
      <c r="A328" s="2" t="s">
        <v>326</v>
      </c>
      <c r="B328" s="37">
        <v>13900</v>
      </c>
      <c r="C328" s="37">
        <v>14885</v>
      </c>
      <c r="D328" s="37">
        <v>7073</v>
      </c>
      <c r="E328" s="40">
        <v>2300</v>
      </c>
      <c r="F328" s="41">
        <v>1714</v>
      </c>
      <c r="G328">
        <v>8480</v>
      </c>
      <c r="H328" s="46">
        <v>5776</v>
      </c>
      <c r="I328" s="37">
        <v>6503</v>
      </c>
      <c r="J328" s="42">
        <v>1479.63</v>
      </c>
      <c r="K328" s="5">
        <v>1546.8500000000001</v>
      </c>
      <c r="L328" s="37">
        <v>360900</v>
      </c>
      <c r="M328" s="43">
        <v>203.8166666667</v>
      </c>
      <c r="N328">
        <v>5</v>
      </c>
      <c r="O328" s="36">
        <f>Rådatakommune[[#This Row],[B16-O]]/Rådatakommune[[#This Row],[Landareal2016-O]]</f>
        <v>10.059947419287253</v>
      </c>
      <c r="P328" s="36">
        <f>Rådatakommune[[#This Row],[B16-O]]/Rådatakommune[[#This Row],[Totalareal2016-O]]</f>
        <v>9.6227817823318347</v>
      </c>
      <c r="Q328" s="38">
        <f>Rådatakommune[[#This Row],[B16-O]]/Rådatakommune[[#This Row],[B06-O]]-1</f>
        <v>7.0863309352517945E-2</v>
      </c>
      <c r="R328" s="24">
        <f>Rådatakommune[[#This Row],[Kvinner20-39-O]]/Rådatakommune[[#This Row],[B16-O]]</f>
        <v>0.11514947934161908</v>
      </c>
      <c r="S328" s="24">
        <f>Rådatakommune[[#This Row],[Eldre67+-O]]/Rådatakommune[[#This Row],[B16-O]]</f>
        <v>0.15451797111185758</v>
      </c>
      <c r="T328" s="24">
        <f>Rådatakommune[[#This Row],[S15-O]]/Rådatakommune[[#This Row],[S05-O]]-1</f>
        <v>0.12586565096952906</v>
      </c>
      <c r="U328" s="24">
        <f>Rådatakommune[[#This Row],[Y15-O]]/Rådatakommune[[#This Row],[Folk20-64-O]]</f>
        <v>0.83408018867924527</v>
      </c>
    </row>
    <row r="329" spans="1:21" x14ac:dyDescent="0.3">
      <c r="A329" s="2" t="s">
        <v>327</v>
      </c>
      <c r="B329" s="37">
        <v>2644</v>
      </c>
      <c r="C329" s="37">
        <v>2527</v>
      </c>
      <c r="D329" s="37">
        <v>1024</v>
      </c>
      <c r="E329" s="40">
        <v>531</v>
      </c>
      <c r="F329" s="41">
        <v>235</v>
      </c>
      <c r="G329">
        <v>1405</v>
      </c>
      <c r="H329" s="46">
        <v>877</v>
      </c>
      <c r="I329" s="37">
        <v>948</v>
      </c>
      <c r="J329" s="42">
        <v>558.14</v>
      </c>
      <c r="K329" s="5">
        <v>601.66</v>
      </c>
      <c r="L329" s="37">
        <v>317100</v>
      </c>
      <c r="M329" s="43">
        <v>253.9</v>
      </c>
      <c r="N329">
        <v>6</v>
      </c>
      <c r="O329" s="36">
        <f>Rådatakommune[[#This Row],[B16-O]]/Rådatakommune[[#This Row],[Landareal2016-O]]</f>
        <v>4.5275378937184216</v>
      </c>
      <c r="P329" s="36">
        <f>Rådatakommune[[#This Row],[B16-O]]/Rådatakommune[[#This Row],[Totalareal2016-O]]</f>
        <v>4.2000465379117777</v>
      </c>
      <c r="Q329" s="38">
        <f>Rådatakommune[[#This Row],[B16-O]]/Rådatakommune[[#This Row],[B06-O]]-1</f>
        <v>-4.4251134644478052E-2</v>
      </c>
      <c r="R329" s="24">
        <f>Rådatakommune[[#This Row],[Kvinner20-39-O]]/Rådatakommune[[#This Row],[B16-O]]</f>
        <v>9.2995647012267507E-2</v>
      </c>
      <c r="S329" s="24">
        <f>Rådatakommune[[#This Row],[Eldre67+-O]]/Rådatakommune[[#This Row],[B16-O]]</f>
        <v>0.21013058963197467</v>
      </c>
      <c r="T329" s="24">
        <f>Rådatakommune[[#This Row],[S15-O]]/Rådatakommune[[#This Row],[S05-O]]-1</f>
        <v>8.0957810718357948E-2</v>
      </c>
      <c r="U329" s="24">
        <f>Rådatakommune[[#This Row],[Y15-O]]/Rådatakommune[[#This Row],[Folk20-64-O]]</f>
        <v>0.72882562277580076</v>
      </c>
    </row>
    <row r="330" spans="1:21" x14ac:dyDescent="0.3">
      <c r="A330" s="2" t="s">
        <v>328</v>
      </c>
      <c r="B330" s="37">
        <v>1749</v>
      </c>
      <c r="C330" s="37">
        <v>1622</v>
      </c>
      <c r="D330" s="37">
        <v>793</v>
      </c>
      <c r="E330" s="40">
        <v>322</v>
      </c>
      <c r="F330" s="41">
        <v>143</v>
      </c>
      <c r="G330">
        <v>872</v>
      </c>
      <c r="H330" s="46">
        <v>651</v>
      </c>
      <c r="I330" s="37">
        <v>613</v>
      </c>
      <c r="J330" s="42">
        <v>734.69</v>
      </c>
      <c r="K330" s="5">
        <v>769.54000000000008</v>
      </c>
      <c r="L330" s="37">
        <v>351500</v>
      </c>
      <c r="M330" s="43">
        <v>243.3</v>
      </c>
      <c r="N330">
        <v>6</v>
      </c>
      <c r="O330" s="36">
        <f>Rådatakommune[[#This Row],[B16-O]]/Rådatakommune[[#This Row],[Landareal2016-O]]</f>
        <v>2.2077338741510024</v>
      </c>
      <c r="P330" s="36">
        <f>Rådatakommune[[#This Row],[B16-O]]/Rådatakommune[[#This Row],[Totalareal2016-O]]</f>
        <v>2.1077526834212645</v>
      </c>
      <c r="Q330" s="38">
        <f>Rådatakommune[[#This Row],[B16-O]]/Rådatakommune[[#This Row],[B06-O]]-1</f>
        <v>-7.2612921669525488E-2</v>
      </c>
      <c r="R330" s="24">
        <f>Rådatakommune[[#This Row],[Kvinner20-39-O]]/Rådatakommune[[#This Row],[B16-O]]</f>
        <v>8.8162762022194821E-2</v>
      </c>
      <c r="S330" s="24">
        <f>Rådatakommune[[#This Row],[Eldre67+-O]]/Rådatakommune[[#This Row],[B16-O]]</f>
        <v>0.19852034525277434</v>
      </c>
      <c r="T330" s="24">
        <f>Rådatakommune[[#This Row],[S15-O]]/Rådatakommune[[#This Row],[S05-O]]-1</f>
        <v>-5.8371735791090673E-2</v>
      </c>
      <c r="U330" s="24">
        <f>Rådatakommune[[#This Row],[Y15-O]]/Rådatakommune[[#This Row],[Folk20-64-O]]</f>
        <v>0.9094036697247706</v>
      </c>
    </row>
    <row r="331" spans="1:21" x14ac:dyDescent="0.3">
      <c r="A331" s="2" t="s">
        <v>329</v>
      </c>
      <c r="B331" s="37">
        <v>2251</v>
      </c>
      <c r="C331" s="37">
        <v>2139</v>
      </c>
      <c r="D331" s="37">
        <v>1055</v>
      </c>
      <c r="E331" s="40">
        <v>444</v>
      </c>
      <c r="F331" s="41">
        <v>214</v>
      </c>
      <c r="G331">
        <v>1141</v>
      </c>
      <c r="H331" s="46">
        <v>956</v>
      </c>
      <c r="I331" s="37">
        <v>847</v>
      </c>
      <c r="J331" s="42">
        <v>2150.0700000000002</v>
      </c>
      <c r="K331" s="5">
        <v>2342.6600000000003</v>
      </c>
      <c r="L331" s="37">
        <v>349100</v>
      </c>
      <c r="M331" s="43">
        <v>267.75</v>
      </c>
      <c r="N331">
        <v>6</v>
      </c>
      <c r="O331" s="36">
        <f>Rådatakommune[[#This Row],[B16-O]]/Rådatakommune[[#This Row],[Landareal2016-O]]</f>
        <v>0.99485133042180018</v>
      </c>
      <c r="P331" s="36">
        <f>Rådatakommune[[#This Row],[B16-O]]/Rådatakommune[[#This Row],[Totalareal2016-O]]</f>
        <v>0.91306463592668152</v>
      </c>
      <c r="Q331" s="38">
        <f>Rådatakommune[[#This Row],[B16-O]]/Rådatakommune[[#This Row],[B06-O]]-1</f>
        <v>-4.975566414926702E-2</v>
      </c>
      <c r="R331" s="24">
        <f>Rådatakommune[[#This Row],[Kvinner20-39-O]]/Rådatakommune[[#This Row],[B16-O]]</f>
        <v>0.10004675081813932</v>
      </c>
      <c r="S331" s="24">
        <f>Rådatakommune[[#This Row],[Eldre67+-O]]/Rådatakommune[[#This Row],[B16-O]]</f>
        <v>0.20757363253856942</v>
      </c>
      <c r="T331" s="24">
        <f>Rådatakommune[[#This Row],[S15-O]]/Rådatakommune[[#This Row],[S05-O]]-1</f>
        <v>-0.11401673640167365</v>
      </c>
      <c r="U331" s="24">
        <f>Rådatakommune[[#This Row],[Y15-O]]/Rådatakommune[[#This Row],[Folk20-64-O]]</f>
        <v>0.92462751971954427</v>
      </c>
    </row>
    <row r="332" spans="1:21" x14ac:dyDescent="0.3">
      <c r="A332" s="2" t="s">
        <v>330</v>
      </c>
      <c r="B332" s="37">
        <v>1503</v>
      </c>
      <c r="C332" s="37">
        <v>1375</v>
      </c>
      <c r="D332" s="37">
        <v>702</v>
      </c>
      <c r="E332" s="40">
        <v>297</v>
      </c>
      <c r="F332" s="41">
        <v>122</v>
      </c>
      <c r="G332">
        <v>727</v>
      </c>
      <c r="H332" s="46">
        <v>665</v>
      </c>
      <c r="I332" s="37">
        <v>591</v>
      </c>
      <c r="J332" s="42">
        <v>2631.19</v>
      </c>
      <c r="K332" s="5">
        <v>2961.7</v>
      </c>
      <c r="L332" s="37">
        <v>368400</v>
      </c>
      <c r="M332" s="43">
        <v>303.8333333333</v>
      </c>
      <c r="N332">
        <v>11</v>
      </c>
      <c r="O332" s="36">
        <f>Rådatakommune[[#This Row],[B16-O]]/Rådatakommune[[#This Row],[Landareal2016-O]]</f>
        <v>0.52257723691561608</v>
      </c>
      <c r="P332" s="36">
        <f>Rådatakommune[[#This Row],[B16-O]]/Rådatakommune[[#This Row],[Totalareal2016-O]]</f>
        <v>0.46426039099166022</v>
      </c>
      <c r="Q332" s="38">
        <f>Rådatakommune[[#This Row],[B16-O]]/Rådatakommune[[#This Row],[B06-O]]-1</f>
        <v>-8.5163007318695971E-2</v>
      </c>
      <c r="R332" s="24">
        <f>Rådatakommune[[#This Row],[Kvinner20-39-O]]/Rådatakommune[[#This Row],[B16-O]]</f>
        <v>8.8727272727272724E-2</v>
      </c>
      <c r="S332" s="24">
        <f>Rådatakommune[[#This Row],[Eldre67+-O]]/Rådatakommune[[#This Row],[B16-O]]</f>
        <v>0.216</v>
      </c>
      <c r="T332" s="24">
        <f>Rådatakommune[[#This Row],[S15-O]]/Rådatakommune[[#This Row],[S05-O]]-1</f>
        <v>-0.11127819548872175</v>
      </c>
      <c r="U332" s="24">
        <f>Rådatakommune[[#This Row],[Y15-O]]/Rådatakommune[[#This Row],[Folk20-64-O]]</f>
        <v>0.96561210453920221</v>
      </c>
    </row>
    <row r="333" spans="1:21" x14ac:dyDescent="0.3">
      <c r="A333" s="2" t="s">
        <v>331</v>
      </c>
      <c r="B333" s="37">
        <v>544</v>
      </c>
      <c r="C333" s="37">
        <v>469</v>
      </c>
      <c r="D333" s="37">
        <v>259</v>
      </c>
      <c r="E333" s="40">
        <v>106</v>
      </c>
      <c r="F333" s="41">
        <v>36</v>
      </c>
      <c r="G333">
        <v>246</v>
      </c>
      <c r="H333" s="46">
        <v>232</v>
      </c>
      <c r="I333" s="37">
        <v>208</v>
      </c>
      <c r="J333" s="42">
        <v>1332.4</v>
      </c>
      <c r="K333" s="5">
        <v>1584.7600000000002</v>
      </c>
      <c r="L333" s="37">
        <v>361800</v>
      </c>
      <c r="M333" s="43">
        <v>317.03333333299997</v>
      </c>
      <c r="N333">
        <v>11</v>
      </c>
      <c r="O333" s="36">
        <f>Rådatakommune[[#This Row],[B16-O]]/Rådatakommune[[#This Row],[Landareal2016-O]]</f>
        <v>0.35199639747823475</v>
      </c>
      <c r="P333" s="36">
        <f>Rådatakommune[[#This Row],[B16-O]]/Rådatakommune[[#This Row],[Totalareal2016-O]]</f>
        <v>0.29594386531714578</v>
      </c>
      <c r="Q333" s="38">
        <f>Rådatakommune[[#This Row],[B16-O]]/Rådatakommune[[#This Row],[B06-O]]-1</f>
        <v>-0.13786764705882348</v>
      </c>
      <c r="R333" s="24">
        <f>Rådatakommune[[#This Row],[Kvinner20-39-O]]/Rådatakommune[[#This Row],[B16-O]]</f>
        <v>7.6759061833688705E-2</v>
      </c>
      <c r="S333" s="24">
        <f>Rådatakommune[[#This Row],[Eldre67+-O]]/Rådatakommune[[#This Row],[B16-O]]</f>
        <v>0.22601279317697229</v>
      </c>
      <c r="T333" s="24">
        <f>Rådatakommune[[#This Row],[S15-O]]/Rådatakommune[[#This Row],[S05-O]]-1</f>
        <v>-0.10344827586206895</v>
      </c>
      <c r="U333" s="24">
        <f>Rådatakommune[[#This Row],[Y15-O]]/Rådatakommune[[#This Row],[Folk20-64-O]]</f>
        <v>1.0528455284552845</v>
      </c>
    </row>
    <row r="334" spans="1:21" x14ac:dyDescent="0.3">
      <c r="A334" s="2" t="s">
        <v>332</v>
      </c>
      <c r="B334" s="37">
        <v>919</v>
      </c>
      <c r="C334" s="37">
        <v>867</v>
      </c>
      <c r="D334" s="37">
        <v>407</v>
      </c>
      <c r="E334" s="40">
        <v>214</v>
      </c>
      <c r="F334" s="41">
        <v>78</v>
      </c>
      <c r="G334">
        <v>452</v>
      </c>
      <c r="H334" s="46">
        <v>398</v>
      </c>
      <c r="I334" s="37">
        <v>382</v>
      </c>
      <c r="J334" s="42">
        <v>1353.65</v>
      </c>
      <c r="K334" s="5">
        <v>1417.16</v>
      </c>
      <c r="L334" s="37">
        <v>352500</v>
      </c>
      <c r="M334" s="43">
        <v>302.48333333329998</v>
      </c>
      <c r="N334">
        <v>11</v>
      </c>
      <c r="O334" s="36">
        <f>Rådatakommune[[#This Row],[B16-O]]/Rådatakommune[[#This Row],[Landareal2016-O]]</f>
        <v>0.64049052561592723</v>
      </c>
      <c r="P334" s="36">
        <f>Rådatakommune[[#This Row],[B16-O]]/Rådatakommune[[#This Row],[Totalareal2016-O]]</f>
        <v>0.61178695419007023</v>
      </c>
      <c r="Q334" s="38">
        <f>Rådatakommune[[#This Row],[B16-O]]/Rådatakommune[[#This Row],[B06-O]]-1</f>
        <v>-5.6583242655059873E-2</v>
      </c>
      <c r="R334" s="24">
        <f>Rådatakommune[[#This Row],[Kvinner20-39-O]]/Rådatakommune[[#This Row],[B16-O]]</f>
        <v>8.9965397923875437E-2</v>
      </c>
      <c r="S334" s="24">
        <f>Rådatakommune[[#This Row],[Eldre67+-O]]/Rådatakommune[[#This Row],[B16-O]]</f>
        <v>0.24682814302191464</v>
      </c>
      <c r="T334" s="24">
        <f>Rådatakommune[[#This Row],[S15-O]]/Rådatakommune[[#This Row],[S05-O]]-1</f>
        <v>-4.020100502512558E-2</v>
      </c>
      <c r="U334" s="24">
        <f>Rådatakommune[[#This Row],[Y15-O]]/Rådatakommune[[#This Row],[Folk20-64-O]]</f>
        <v>0.90044247787610621</v>
      </c>
    </row>
    <row r="335" spans="1:21" x14ac:dyDescent="0.3">
      <c r="A335" s="2" t="s">
        <v>333</v>
      </c>
      <c r="B335" s="37">
        <v>2416</v>
      </c>
      <c r="C335" s="37">
        <v>2466</v>
      </c>
      <c r="D335" s="37">
        <v>1162</v>
      </c>
      <c r="E335" s="40">
        <v>468</v>
      </c>
      <c r="F335" s="41">
        <v>240</v>
      </c>
      <c r="G335">
        <v>1348</v>
      </c>
      <c r="H335" s="46">
        <v>1154</v>
      </c>
      <c r="I335" s="37">
        <v>1111</v>
      </c>
      <c r="J335" s="42">
        <v>1097.55</v>
      </c>
      <c r="K335" s="5">
        <v>1136.1699999999998</v>
      </c>
      <c r="L335" s="37">
        <v>335100</v>
      </c>
      <c r="M335" s="43">
        <v>246.6666666667</v>
      </c>
      <c r="N335">
        <v>6</v>
      </c>
      <c r="O335" s="36">
        <f>Rådatakommune[[#This Row],[B16-O]]/Rådatakommune[[#This Row],[Landareal2016-O]]</f>
        <v>2.2468224682246825</v>
      </c>
      <c r="P335" s="36">
        <f>Rådatakommune[[#This Row],[B16-O]]/Rådatakommune[[#This Row],[Totalareal2016-O]]</f>
        <v>2.1704498446535294</v>
      </c>
      <c r="Q335" s="38">
        <f>Rådatakommune[[#This Row],[B16-O]]/Rådatakommune[[#This Row],[B06-O]]-1</f>
        <v>2.0695364238410674E-2</v>
      </c>
      <c r="R335" s="24">
        <f>Rådatakommune[[#This Row],[Kvinner20-39-O]]/Rådatakommune[[#This Row],[B16-O]]</f>
        <v>9.7323600973236016E-2</v>
      </c>
      <c r="S335" s="24">
        <f>Rådatakommune[[#This Row],[Eldre67+-O]]/Rådatakommune[[#This Row],[B16-O]]</f>
        <v>0.18978102189781021</v>
      </c>
      <c r="T335" s="24">
        <f>Rådatakommune[[#This Row],[S15-O]]/Rådatakommune[[#This Row],[S05-O]]-1</f>
        <v>-3.7261698440207991E-2</v>
      </c>
      <c r="U335" s="24">
        <f>Rådatakommune[[#This Row],[Y15-O]]/Rådatakommune[[#This Row],[Folk20-64-O]]</f>
        <v>0.86201780415430262</v>
      </c>
    </row>
    <row r="336" spans="1:21" x14ac:dyDescent="0.3">
      <c r="A336" s="2" t="s">
        <v>334</v>
      </c>
      <c r="B336" s="37">
        <v>1279</v>
      </c>
      <c r="C336" s="37">
        <v>1250</v>
      </c>
      <c r="D336" s="37">
        <v>632</v>
      </c>
      <c r="E336" s="40">
        <v>257</v>
      </c>
      <c r="F336" s="41">
        <v>112</v>
      </c>
      <c r="G336">
        <v>617</v>
      </c>
      <c r="H336" s="46">
        <v>471</v>
      </c>
      <c r="I336" s="37">
        <v>506</v>
      </c>
      <c r="J336" s="42">
        <v>702.64</v>
      </c>
      <c r="K336" s="5">
        <v>754.42</v>
      </c>
      <c r="L336" s="37">
        <v>372200</v>
      </c>
      <c r="M336" s="43">
        <v>249.25</v>
      </c>
      <c r="N336">
        <v>6</v>
      </c>
      <c r="O336" s="36">
        <f>Rådatakommune[[#This Row],[B16-O]]/Rådatakommune[[#This Row],[Landareal2016-O]]</f>
        <v>1.7790048958214733</v>
      </c>
      <c r="P336" s="36">
        <f>Rådatakommune[[#This Row],[B16-O]]/Rådatakommune[[#This Row],[Totalareal2016-O]]</f>
        <v>1.6569019909334324</v>
      </c>
      <c r="Q336" s="38">
        <f>Rådatakommune[[#This Row],[B16-O]]/Rådatakommune[[#This Row],[B06-O]]-1</f>
        <v>-2.2673964034401917E-2</v>
      </c>
      <c r="R336" s="24">
        <f>Rådatakommune[[#This Row],[Kvinner20-39-O]]/Rådatakommune[[#This Row],[B16-O]]</f>
        <v>8.9599999999999999E-2</v>
      </c>
      <c r="S336" s="24">
        <f>Rådatakommune[[#This Row],[Eldre67+-O]]/Rådatakommune[[#This Row],[B16-O]]</f>
        <v>0.2056</v>
      </c>
      <c r="T336" s="24">
        <f>Rådatakommune[[#This Row],[S15-O]]/Rådatakommune[[#This Row],[S05-O]]-1</f>
        <v>7.4309978768577478E-2</v>
      </c>
      <c r="U336" s="24">
        <f>Rådatakommune[[#This Row],[Y15-O]]/Rådatakommune[[#This Row],[Folk20-64-O]]</f>
        <v>1.0243111831442464</v>
      </c>
    </row>
    <row r="337" spans="1:21" x14ac:dyDescent="0.3">
      <c r="A337" s="2" t="s">
        <v>335</v>
      </c>
      <c r="B337" s="37">
        <v>3493</v>
      </c>
      <c r="C337" s="37">
        <v>3825</v>
      </c>
      <c r="D337" s="37">
        <v>1929</v>
      </c>
      <c r="E337" s="40">
        <v>588</v>
      </c>
      <c r="F337" s="41">
        <v>457</v>
      </c>
      <c r="G337">
        <v>2132</v>
      </c>
      <c r="H337" s="46">
        <v>1362</v>
      </c>
      <c r="I337" s="37">
        <v>1466</v>
      </c>
      <c r="J337" s="42">
        <v>689.4</v>
      </c>
      <c r="K337" s="5">
        <v>729.79</v>
      </c>
      <c r="L337" s="37">
        <v>378600</v>
      </c>
      <c r="M337" s="43">
        <v>227.36666666669998</v>
      </c>
      <c r="N337">
        <v>6</v>
      </c>
      <c r="O337" s="36">
        <f>Rådatakommune[[#This Row],[B16-O]]/Rådatakommune[[#This Row],[Landareal2016-O]]</f>
        <v>5.5483028720626635</v>
      </c>
      <c r="P337" s="36">
        <f>Rådatakommune[[#This Row],[B16-O]]/Rådatakommune[[#This Row],[Totalareal2016-O]]</f>
        <v>5.2412337795804271</v>
      </c>
      <c r="Q337" s="38">
        <f>Rådatakommune[[#This Row],[B16-O]]/Rådatakommune[[#This Row],[B06-O]]-1</f>
        <v>9.5047237331806533E-2</v>
      </c>
      <c r="R337" s="24">
        <f>Rådatakommune[[#This Row],[Kvinner20-39-O]]/Rådatakommune[[#This Row],[B16-O]]</f>
        <v>0.11947712418300653</v>
      </c>
      <c r="S337" s="24">
        <f>Rådatakommune[[#This Row],[Eldre67+-O]]/Rådatakommune[[#This Row],[B16-O]]</f>
        <v>0.15372549019607842</v>
      </c>
      <c r="T337" s="24">
        <f>Rådatakommune[[#This Row],[S15-O]]/Rådatakommune[[#This Row],[S05-O]]-1</f>
        <v>7.6358296622613731E-2</v>
      </c>
      <c r="U337" s="24">
        <f>Rådatakommune[[#This Row],[Y15-O]]/Rådatakommune[[#This Row],[Folk20-64-O]]</f>
        <v>0.90478424015009384</v>
      </c>
    </row>
    <row r="338" spans="1:21" x14ac:dyDescent="0.3">
      <c r="A338" s="2" t="s">
        <v>336</v>
      </c>
      <c r="B338" s="37">
        <v>714</v>
      </c>
      <c r="C338" s="37">
        <v>633</v>
      </c>
      <c r="D338" s="37">
        <v>292</v>
      </c>
      <c r="E338" s="40">
        <v>155</v>
      </c>
      <c r="F338" s="41">
        <v>51</v>
      </c>
      <c r="G338">
        <v>335</v>
      </c>
      <c r="H338" s="46">
        <v>247</v>
      </c>
      <c r="I338" s="37">
        <v>237</v>
      </c>
      <c r="J338" s="42">
        <v>473.43</v>
      </c>
      <c r="K338" s="5">
        <v>544.27</v>
      </c>
      <c r="L338" s="37">
        <v>326900</v>
      </c>
      <c r="M338" s="43">
        <v>248.61666666669998</v>
      </c>
      <c r="N338">
        <v>6</v>
      </c>
      <c r="O338" s="36">
        <f>Rådatakommune[[#This Row],[B16-O]]/Rådatakommune[[#This Row],[Landareal2016-O]]</f>
        <v>1.3370508839743995</v>
      </c>
      <c r="P338" s="36">
        <f>Rådatakommune[[#This Row],[B16-O]]/Rådatakommune[[#This Row],[Totalareal2016-O]]</f>
        <v>1.1630257041541883</v>
      </c>
      <c r="Q338" s="38">
        <f>Rådatakommune[[#This Row],[B16-O]]/Rådatakommune[[#This Row],[B06-O]]-1</f>
        <v>-0.11344537815126055</v>
      </c>
      <c r="R338" s="24">
        <f>Rådatakommune[[#This Row],[Kvinner20-39-O]]/Rådatakommune[[#This Row],[B16-O]]</f>
        <v>8.0568720379146919E-2</v>
      </c>
      <c r="S338" s="24">
        <f>Rådatakommune[[#This Row],[Eldre67+-O]]/Rådatakommune[[#This Row],[B16-O]]</f>
        <v>0.24486571879936808</v>
      </c>
      <c r="T338" s="24">
        <f>Rådatakommune[[#This Row],[S15-O]]/Rådatakommune[[#This Row],[S05-O]]-1</f>
        <v>-4.0485829959514219E-2</v>
      </c>
      <c r="U338" s="24">
        <f>Rådatakommune[[#This Row],[Y15-O]]/Rådatakommune[[#This Row],[Folk20-64-O]]</f>
        <v>0.87164179104477613</v>
      </c>
    </row>
    <row r="339" spans="1:21" x14ac:dyDescent="0.3">
      <c r="A339" s="2" t="s">
        <v>337</v>
      </c>
      <c r="B339" s="37">
        <v>1174</v>
      </c>
      <c r="C339" s="37">
        <v>1103</v>
      </c>
      <c r="D339" s="37">
        <v>591</v>
      </c>
      <c r="E339" s="40">
        <v>224</v>
      </c>
      <c r="F339" s="41">
        <v>100</v>
      </c>
      <c r="G339">
        <v>624</v>
      </c>
      <c r="H339" s="46">
        <v>416</v>
      </c>
      <c r="I339" s="37">
        <v>527</v>
      </c>
      <c r="J339" s="42">
        <v>433.52</v>
      </c>
      <c r="K339" s="5">
        <v>458.71</v>
      </c>
      <c r="L339" s="37">
        <v>348900</v>
      </c>
      <c r="M339" s="43">
        <v>265.8333333333</v>
      </c>
      <c r="N339">
        <v>11</v>
      </c>
      <c r="O339" s="36">
        <f>Rådatakommune[[#This Row],[B16-O]]/Rådatakommune[[#This Row],[Landareal2016-O]]</f>
        <v>2.5442886141354495</v>
      </c>
      <c r="P339" s="36">
        <f>Rådatakommune[[#This Row],[B16-O]]/Rådatakommune[[#This Row],[Totalareal2016-O]]</f>
        <v>2.4045693357458964</v>
      </c>
      <c r="Q339" s="38">
        <f>Rådatakommune[[#This Row],[B16-O]]/Rådatakommune[[#This Row],[B06-O]]-1</f>
        <v>-6.0477001703577504E-2</v>
      </c>
      <c r="R339" s="24">
        <f>Rådatakommune[[#This Row],[Kvinner20-39-O]]/Rådatakommune[[#This Row],[B16-O]]</f>
        <v>9.0661831368993653E-2</v>
      </c>
      <c r="S339" s="24">
        <f>Rådatakommune[[#This Row],[Eldre67+-O]]/Rådatakommune[[#This Row],[B16-O]]</f>
        <v>0.20308250226654578</v>
      </c>
      <c r="T339" s="24">
        <f>Rådatakommune[[#This Row],[S15-O]]/Rådatakommune[[#This Row],[S05-O]]-1</f>
        <v>0.26682692307692313</v>
      </c>
      <c r="U339" s="24">
        <f>Rådatakommune[[#This Row],[Y15-O]]/Rådatakommune[[#This Row],[Folk20-64-O]]</f>
        <v>0.94711538461538458</v>
      </c>
    </row>
    <row r="340" spans="1:21" x14ac:dyDescent="0.3">
      <c r="A340" s="2" t="s">
        <v>338</v>
      </c>
      <c r="B340" s="37">
        <v>4011</v>
      </c>
      <c r="C340" s="37">
        <v>4387</v>
      </c>
      <c r="D340" s="37">
        <v>2149</v>
      </c>
      <c r="E340" s="40">
        <v>643</v>
      </c>
      <c r="F340" s="41">
        <v>536</v>
      </c>
      <c r="G340">
        <v>2496</v>
      </c>
      <c r="H340" s="46">
        <v>2167</v>
      </c>
      <c r="I340" s="37">
        <v>2397</v>
      </c>
      <c r="J340" s="42">
        <v>311.16000000000003</v>
      </c>
      <c r="K340" s="5">
        <v>318.68</v>
      </c>
      <c r="L340" s="37">
        <v>392900</v>
      </c>
      <c r="M340" s="43">
        <v>219.71666666666999</v>
      </c>
      <c r="N340">
        <v>9</v>
      </c>
      <c r="O340" s="36">
        <f>Rådatakommune[[#This Row],[B16-O]]/Rådatakommune[[#This Row],[Landareal2016-O]]</f>
        <v>14.098855894073788</v>
      </c>
      <c r="P340" s="36">
        <f>Rådatakommune[[#This Row],[B16-O]]/Rådatakommune[[#This Row],[Totalareal2016-O]]</f>
        <v>13.766160411698255</v>
      </c>
      <c r="Q340" s="38">
        <f>Rådatakommune[[#This Row],[B16-O]]/Rådatakommune[[#This Row],[B06-O]]-1</f>
        <v>9.3742208925454928E-2</v>
      </c>
      <c r="R340" s="24">
        <f>Rådatakommune[[#This Row],[Kvinner20-39-O]]/Rådatakommune[[#This Row],[B16-O]]</f>
        <v>0.12217916571689082</v>
      </c>
      <c r="S340" s="24">
        <f>Rådatakommune[[#This Row],[Eldre67+-O]]/Rådatakommune[[#This Row],[B16-O]]</f>
        <v>0.14656940961932985</v>
      </c>
      <c r="T340" s="24">
        <f>Rådatakommune[[#This Row],[S15-O]]/Rådatakommune[[#This Row],[S05-O]]-1</f>
        <v>0.10613751730503007</v>
      </c>
      <c r="U340" s="24">
        <f>Rådatakommune[[#This Row],[Y15-O]]/Rådatakommune[[#This Row],[Folk20-64-O]]</f>
        <v>0.8609775641025641</v>
      </c>
    </row>
    <row r="341" spans="1:21" x14ac:dyDescent="0.3">
      <c r="A341" s="2" t="s">
        <v>339</v>
      </c>
      <c r="B341" s="37">
        <v>5154</v>
      </c>
      <c r="C341" s="37">
        <v>5126</v>
      </c>
      <c r="D341" s="37">
        <v>2463</v>
      </c>
      <c r="E341" s="40">
        <v>927</v>
      </c>
      <c r="F341" s="41">
        <v>518</v>
      </c>
      <c r="G341">
        <v>2821</v>
      </c>
      <c r="H341" s="46">
        <v>1891</v>
      </c>
      <c r="I341" s="37">
        <v>2011</v>
      </c>
      <c r="J341" s="42">
        <v>1013.89</v>
      </c>
      <c r="K341" s="5">
        <v>1067.54</v>
      </c>
      <c r="L341" s="37">
        <v>365700</v>
      </c>
      <c r="M341" s="43">
        <v>233.0833333333</v>
      </c>
      <c r="N341">
        <v>9</v>
      </c>
      <c r="O341" s="36">
        <f>Rådatakommune[[#This Row],[B16-O]]/Rådatakommune[[#This Row],[Landareal2016-O]]</f>
        <v>5.0557752813421573</v>
      </c>
      <c r="P341" s="36">
        <f>Rådatakommune[[#This Row],[B16-O]]/Rådatakommune[[#This Row],[Totalareal2016-O]]</f>
        <v>4.8016936133540664</v>
      </c>
      <c r="Q341" s="38">
        <f>Rådatakommune[[#This Row],[B16-O]]/Rådatakommune[[#This Row],[B06-O]]-1</f>
        <v>-5.4326736515327712E-3</v>
      </c>
      <c r="R341" s="24">
        <f>Rådatakommune[[#This Row],[Kvinner20-39-O]]/Rådatakommune[[#This Row],[B16-O]]</f>
        <v>0.10105345298478345</v>
      </c>
      <c r="S341" s="24">
        <f>Rådatakommune[[#This Row],[Eldre67+-O]]/Rådatakommune[[#This Row],[B16-O]]</f>
        <v>0.18084276238782676</v>
      </c>
      <c r="T341" s="24">
        <f>Rådatakommune[[#This Row],[S15-O]]/Rådatakommune[[#This Row],[S05-O]]-1</f>
        <v>6.3458487572712885E-2</v>
      </c>
      <c r="U341" s="24">
        <f>Rådatakommune[[#This Row],[Y15-O]]/Rådatakommune[[#This Row],[Folk20-64-O]]</f>
        <v>0.87309464728819564</v>
      </c>
    </row>
    <row r="342" spans="1:21" x14ac:dyDescent="0.3">
      <c r="A342" s="2" t="s">
        <v>340</v>
      </c>
      <c r="B342" s="37">
        <v>595</v>
      </c>
      <c r="C342" s="37">
        <v>562</v>
      </c>
      <c r="D342" s="37">
        <v>261</v>
      </c>
      <c r="E342" s="40">
        <v>158</v>
      </c>
      <c r="F342" s="41">
        <v>38</v>
      </c>
      <c r="G342">
        <v>279</v>
      </c>
      <c r="H342" s="46">
        <v>252</v>
      </c>
      <c r="I342" s="37">
        <v>229</v>
      </c>
      <c r="J342" s="42">
        <v>108.33</v>
      </c>
      <c r="K342" s="5">
        <v>110.02</v>
      </c>
      <c r="L342" s="37">
        <v>349600</v>
      </c>
      <c r="M342" s="43">
        <v>295.2</v>
      </c>
      <c r="N342">
        <v>11</v>
      </c>
      <c r="O342" s="36">
        <f>Rådatakommune[[#This Row],[B16-O]]/Rådatakommune[[#This Row],[Landareal2016-O]]</f>
        <v>5.1878519339056588</v>
      </c>
      <c r="P342" s="36">
        <f>Rådatakommune[[#This Row],[B16-O]]/Rådatakommune[[#This Row],[Totalareal2016-O]]</f>
        <v>5.1081621523359395</v>
      </c>
      <c r="Q342" s="38">
        <f>Rådatakommune[[#This Row],[B16-O]]/Rådatakommune[[#This Row],[B06-O]]-1</f>
        <v>-5.5462184873949605E-2</v>
      </c>
      <c r="R342" s="24">
        <f>Rådatakommune[[#This Row],[Kvinner20-39-O]]/Rådatakommune[[#This Row],[B16-O]]</f>
        <v>6.7615658362989328E-2</v>
      </c>
      <c r="S342" s="24">
        <f>Rådatakommune[[#This Row],[Eldre67+-O]]/Rådatakommune[[#This Row],[B16-O]]</f>
        <v>0.28113879003558717</v>
      </c>
      <c r="T342" s="24">
        <f>Rådatakommune[[#This Row],[S15-O]]/Rådatakommune[[#This Row],[S05-O]]-1</f>
        <v>-9.1269841269841279E-2</v>
      </c>
      <c r="U342" s="24">
        <f>Rådatakommune[[#This Row],[Y15-O]]/Rådatakommune[[#This Row],[Folk20-64-O]]</f>
        <v>0.93548387096774188</v>
      </c>
    </row>
    <row r="343" spans="1:21" x14ac:dyDescent="0.3">
      <c r="A343" s="2" t="s">
        <v>341</v>
      </c>
      <c r="B343" s="37">
        <v>6831</v>
      </c>
      <c r="C343" s="37">
        <v>6769</v>
      </c>
      <c r="D343" s="37">
        <v>3246</v>
      </c>
      <c r="E343" s="40">
        <v>1139</v>
      </c>
      <c r="F343" s="41">
        <v>709</v>
      </c>
      <c r="G343">
        <v>3706</v>
      </c>
      <c r="H343" s="46">
        <v>2142</v>
      </c>
      <c r="I343" s="37">
        <v>2182</v>
      </c>
      <c r="J343" s="42">
        <v>351.13</v>
      </c>
      <c r="K343" s="5">
        <v>365.67</v>
      </c>
      <c r="L343" s="37">
        <v>375000</v>
      </c>
      <c r="M343" s="43">
        <v>216.03333333329999</v>
      </c>
      <c r="N343">
        <v>6</v>
      </c>
      <c r="O343" s="36">
        <f>Rådatakommune[[#This Row],[B16-O]]/Rådatakommune[[#This Row],[Landareal2016-O]]</f>
        <v>19.277760373650786</v>
      </c>
      <c r="P343" s="36">
        <f>Rådatakommune[[#This Row],[B16-O]]/Rådatakommune[[#This Row],[Totalareal2016-O]]</f>
        <v>18.511225968769654</v>
      </c>
      <c r="Q343" s="38">
        <f>Rådatakommune[[#This Row],[B16-O]]/Rådatakommune[[#This Row],[B06-O]]-1</f>
        <v>-9.0762699458352136E-3</v>
      </c>
      <c r="R343" s="24">
        <f>Rådatakommune[[#This Row],[Kvinner20-39-O]]/Rådatakommune[[#This Row],[B16-O]]</f>
        <v>0.1047422071206973</v>
      </c>
      <c r="S343" s="24">
        <f>Rådatakommune[[#This Row],[Eldre67+-O]]/Rådatakommune[[#This Row],[B16-O]]</f>
        <v>0.16826710001477324</v>
      </c>
      <c r="T343" s="24">
        <f>Rådatakommune[[#This Row],[S15-O]]/Rådatakommune[[#This Row],[S05-O]]-1</f>
        <v>1.8674136321195078E-2</v>
      </c>
      <c r="U343" s="24">
        <f>Rådatakommune[[#This Row],[Y15-O]]/Rådatakommune[[#This Row],[Folk20-64-O]]</f>
        <v>0.87587695628710205</v>
      </c>
    </row>
    <row r="344" spans="1:21" x14ac:dyDescent="0.3">
      <c r="A344" s="2" t="s">
        <v>342</v>
      </c>
      <c r="B344" s="37">
        <v>44992</v>
      </c>
      <c r="C344" s="37">
        <v>50488</v>
      </c>
      <c r="D344" s="37">
        <v>26353</v>
      </c>
      <c r="E344" s="40">
        <v>6444</v>
      </c>
      <c r="F344" s="41">
        <v>6767</v>
      </c>
      <c r="G344">
        <v>30665</v>
      </c>
      <c r="H344" s="46">
        <v>25092</v>
      </c>
      <c r="I344" s="37">
        <v>27223</v>
      </c>
      <c r="J344" s="42">
        <v>1311.92</v>
      </c>
      <c r="K344" s="5">
        <v>1395.26</v>
      </c>
      <c r="L344" s="37">
        <v>417900</v>
      </c>
      <c r="M344" s="43">
        <v>187.86666666667</v>
      </c>
      <c r="N344">
        <v>4</v>
      </c>
      <c r="O344" s="36">
        <f>Rådatakommune[[#This Row],[B16-O]]/Rådatakommune[[#This Row],[Landareal2016-O]]</f>
        <v>38.484053905725958</v>
      </c>
      <c r="P344" s="36">
        <f>Rådatakommune[[#This Row],[B16-O]]/Rådatakommune[[#This Row],[Totalareal2016-O]]</f>
        <v>36.185370468586498</v>
      </c>
      <c r="Q344" s="39">
        <f>Rådatakommune[[#This Row],[B16-O]]/Rådatakommune[[#This Row],[B06-O]]-1</f>
        <v>0.12215504978662883</v>
      </c>
      <c r="R344" s="24">
        <f>Rådatakommune[[#This Row],[Kvinner20-39-O]]/Rådatakommune[[#This Row],[B16-O]]</f>
        <v>0.13403184915227381</v>
      </c>
      <c r="S344" s="24">
        <f>Rådatakommune[[#This Row],[Eldre67+-O]]/Rådatakommune[[#This Row],[B16-O]]</f>
        <v>0.12763428933607987</v>
      </c>
      <c r="T344" s="24">
        <f>Rådatakommune[[#This Row],[S15-O]]/Rådatakommune[[#This Row],[S05-O]]-1</f>
        <v>8.4927466921728145E-2</v>
      </c>
      <c r="U344" s="24">
        <f>Rådatakommune[[#This Row],[Y15-O]]/Rådatakommune[[#This Row],[Folk20-64-O]]</f>
        <v>0.85938366215555195</v>
      </c>
    </row>
    <row r="345" spans="1:21" x14ac:dyDescent="0.3">
      <c r="A345" s="2" t="s">
        <v>343</v>
      </c>
      <c r="B345" s="37">
        <v>18365</v>
      </c>
      <c r="C345" s="37">
        <v>18787</v>
      </c>
      <c r="D345" s="37">
        <v>8932</v>
      </c>
      <c r="E345" s="40">
        <v>3097</v>
      </c>
      <c r="F345" s="41">
        <v>2262</v>
      </c>
      <c r="G345">
        <v>11051</v>
      </c>
      <c r="H345" s="46">
        <v>8639</v>
      </c>
      <c r="I345" s="37">
        <v>9251</v>
      </c>
      <c r="J345" s="42">
        <v>1905.16</v>
      </c>
      <c r="K345" s="5">
        <v>2023.02</v>
      </c>
      <c r="L345" s="37">
        <v>387000</v>
      </c>
      <c r="M345" s="43">
        <v>251.65</v>
      </c>
      <c r="N345">
        <v>5</v>
      </c>
      <c r="O345" s="36">
        <f>Rådatakommune[[#This Row],[B16-O]]/Rådatakommune[[#This Row],[Landareal2016-O]]</f>
        <v>9.8611140271683215</v>
      </c>
      <c r="P345" s="36">
        <f>Rådatakommune[[#This Row],[B16-O]]/Rådatakommune[[#This Row],[Totalareal2016-O]]</f>
        <v>9.2866111061680066</v>
      </c>
      <c r="Q345" s="38">
        <f>Rådatakommune[[#This Row],[B16-O]]/Rådatakommune[[#This Row],[B06-O]]-1</f>
        <v>2.2978491696161285E-2</v>
      </c>
      <c r="R345" s="24">
        <f>Rådatakommune[[#This Row],[Kvinner20-39-O]]/Rådatakommune[[#This Row],[B16-O]]</f>
        <v>0.12040240591898653</v>
      </c>
      <c r="S345" s="24">
        <f>Rådatakommune[[#This Row],[Eldre67+-O]]/Rådatakommune[[#This Row],[B16-O]]</f>
        <v>0.16484803321445682</v>
      </c>
      <c r="T345" s="24">
        <f>Rådatakommune[[#This Row],[S15-O]]/Rådatakommune[[#This Row],[S05-O]]-1</f>
        <v>7.0841532584789979E-2</v>
      </c>
      <c r="U345" s="24">
        <f>Rådatakommune[[#This Row],[Y15-O]]/Rådatakommune[[#This Row],[Folk20-64-O]]</f>
        <v>0.80825264681929232</v>
      </c>
    </row>
    <row r="346" spans="1:21" x14ac:dyDescent="0.3">
      <c r="A346" s="2" t="s">
        <v>344</v>
      </c>
      <c r="B346" s="37">
        <v>1741</v>
      </c>
      <c r="C346" s="37">
        <v>1465</v>
      </c>
      <c r="D346" s="37">
        <v>645</v>
      </c>
      <c r="E346" s="40">
        <v>342</v>
      </c>
      <c r="F346" s="41">
        <v>125</v>
      </c>
      <c r="G346">
        <v>761</v>
      </c>
      <c r="H346" s="46">
        <v>647</v>
      </c>
      <c r="I346" s="37">
        <v>472</v>
      </c>
      <c r="J346" s="42">
        <v>1192.19</v>
      </c>
      <c r="K346" s="5">
        <v>1264.25</v>
      </c>
      <c r="L346" s="37">
        <v>329300</v>
      </c>
      <c r="M346" s="43">
        <v>275.45</v>
      </c>
      <c r="N346">
        <v>11</v>
      </c>
      <c r="O346" s="36">
        <f>Rådatakommune[[#This Row],[B16-O]]/Rådatakommune[[#This Row],[Landareal2016-O]]</f>
        <v>1.2288309749284929</v>
      </c>
      <c r="P346" s="36">
        <f>Rådatakommune[[#This Row],[B16-O]]/Rådatakommune[[#This Row],[Totalareal2016-O]]</f>
        <v>1.15878979632193</v>
      </c>
      <c r="Q346" s="38">
        <f>Rådatakommune[[#This Row],[B16-O]]/Rådatakommune[[#This Row],[B06-O]]-1</f>
        <v>-0.15852958070074674</v>
      </c>
      <c r="R346" s="24">
        <f>Rådatakommune[[#This Row],[Kvinner20-39-O]]/Rådatakommune[[#This Row],[B16-O]]</f>
        <v>8.5324232081911269E-2</v>
      </c>
      <c r="S346" s="24">
        <f>Rådatakommune[[#This Row],[Eldre67+-O]]/Rådatakommune[[#This Row],[B16-O]]</f>
        <v>0.23344709897610921</v>
      </c>
      <c r="T346" s="24">
        <f>Rådatakommune[[#This Row],[S15-O]]/Rådatakommune[[#This Row],[S05-O]]-1</f>
        <v>-0.27047913446676974</v>
      </c>
      <c r="U346" s="24">
        <f>Rådatakommune[[#This Row],[Y15-O]]/Rådatakommune[[#This Row],[Folk20-64-O]]</f>
        <v>0.84756898817345594</v>
      </c>
    </row>
    <row r="347" spans="1:21" x14ac:dyDescent="0.3">
      <c r="A347" s="2" t="s">
        <v>345</v>
      </c>
      <c r="B347" s="37">
        <v>2048</v>
      </c>
      <c r="C347" s="37">
        <v>2031</v>
      </c>
      <c r="D347" s="37">
        <v>994</v>
      </c>
      <c r="E347" s="40">
        <v>374</v>
      </c>
      <c r="F347" s="41">
        <v>198</v>
      </c>
      <c r="G347">
        <v>1121</v>
      </c>
      <c r="H347" s="46">
        <v>871</v>
      </c>
      <c r="I347" s="37">
        <v>887</v>
      </c>
      <c r="J347" s="42">
        <v>191.75</v>
      </c>
      <c r="K347" s="5">
        <v>195.26</v>
      </c>
      <c r="L347" s="37">
        <v>359500</v>
      </c>
      <c r="M347" s="43">
        <v>233.98333333330001</v>
      </c>
      <c r="N347">
        <v>7</v>
      </c>
      <c r="O347" s="36">
        <f>Rådatakommune[[#This Row],[B16-O]]/Rådatakommune[[#This Row],[Landareal2016-O]]</f>
        <v>10.591916558018253</v>
      </c>
      <c r="P347" s="36">
        <f>Rådatakommune[[#This Row],[B16-O]]/Rådatakommune[[#This Row],[Totalareal2016-O]]</f>
        <v>10.401515927481308</v>
      </c>
      <c r="Q347" s="38">
        <f>Rådatakommune[[#This Row],[B16-O]]/Rådatakommune[[#This Row],[B06-O]]-1</f>
        <v>-8.30078125E-3</v>
      </c>
      <c r="R347" s="24">
        <f>Rådatakommune[[#This Row],[Kvinner20-39-O]]/Rådatakommune[[#This Row],[B16-O]]</f>
        <v>9.7488921713441659E-2</v>
      </c>
      <c r="S347" s="24">
        <f>Rådatakommune[[#This Row],[Eldre67+-O]]/Rådatakommune[[#This Row],[B16-O]]</f>
        <v>0.18414574101427869</v>
      </c>
      <c r="T347" s="24">
        <f>Rådatakommune[[#This Row],[S15-O]]/Rådatakommune[[#This Row],[S05-O]]-1</f>
        <v>1.8369690011481143E-2</v>
      </c>
      <c r="U347" s="24">
        <f>Rådatakommune[[#This Row],[Y15-O]]/Rådatakommune[[#This Row],[Folk20-64-O]]</f>
        <v>0.88670829616413915</v>
      </c>
    </row>
    <row r="348" spans="1:21" x14ac:dyDescent="0.3">
      <c r="A348" s="2" t="s">
        <v>346</v>
      </c>
      <c r="B348" s="37">
        <v>7565</v>
      </c>
      <c r="C348" s="37">
        <v>7962</v>
      </c>
      <c r="D348" s="37">
        <v>3841</v>
      </c>
      <c r="E348" s="40">
        <v>1182</v>
      </c>
      <c r="F348" s="41">
        <v>898</v>
      </c>
      <c r="G348">
        <v>4551</v>
      </c>
      <c r="H348" s="46">
        <v>3466</v>
      </c>
      <c r="I348" s="37">
        <v>3659</v>
      </c>
      <c r="J348" s="42">
        <v>1000.52</v>
      </c>
      <c r="K348" s="5">
        <v>1046.4100000000001</v>
      </c>
      <c r="L348" s="37">
        <v>379600</v>
      </c>
      <c r="M348" s="43">
        <v>201.36666666667</v>
      </c>
      <c r="N348">
        <v>7</v>
      </c>
      <c r="O348" s="36">
        <f>Rådatakommune[[#This Row],[B16-O]]/Rådatakommune[[#This Row],[Landareal2016-O]]</f>
        <v>7.9578619118058613</v>
      </c>
      <c r="P348" s="36">
        <f>Rådatakommune[[#This Row],[B16-O]]/Rådatakommune[[#This Row],[Totalareal2016-O]]</f>
        <v>7.6088722393708004</v>
      </c>
      <c r="Q348" s="38">
        <f>Rådatakommune[[#This Row],[B16-O]]/Rådatakommune[[#This Row],[B06-O]]-1</f>
        <v>5.2478519497686671E-2</v>
      </c>
      <c r="R348" s="24">
        <f>Rådatakommune[[#This Row],[Kvinner20-39-O]]/Rådatakommune[[#This Row],[B16-O]]</f>
        <v>0.1127857322280834</v>
      </c>
      <c r="S348" s="24">
        <f>Rådatakommune[[#This Row],[Eldre67+-O]]/Rådatakommune[[#This Row],[B16-O]]</f>
        <v>0.14845516201959308</v>
      </c>
      <c r="T348" s="24">
        <f>Rådatakommune[[#This Row],[S15-O]]/Rådatakommune[[#This Row],[S05-O]]-1</f>
        <v>5.5683785343335179E-2</v>
      </c>
      <c r="U348" s="24">
        <f>Rådatakommune[[#This Row],[Y15-O]]/Rådatakommune[[#This Row],[Folk20-64-O]]</f>
        <v>0.84399033179520988</v>
      </c>
    </row>
    <row r="349" spans="1:21" x14ac:dyDescent="0.3">
      <c r="A349" s="2" t="s">
        <v>347</v>
      </c>
      <c r="B349" s="37">
        <v>1308</v>
      </c>
      <c r="C349" s="37">
        <v>1244</v>
      </c>
      <c r="D349" s="37">
        <v>567</v>
      </c>
      <c r="E349" s="40">
        <v>273</v>
      </c>
      <c r="F349" s="41">
        <v>116</v>
      </c>
      <c r="G349">
        <v>662</v>
      </c>
      <c r="H349" s="46">
        <v>491</v>
      </c>
      <c r="I349" s="37">
        <v>448</v>
      </c>
      <c r="J349" s="42">
        <v>162.54</v>
      </c>
      <c r="K349" s="5">
        <v>164.94</v>
      </c>
      <c r="L349" s="37">
        <v>352100</v>
      </c>
      <c r="M349" s="43">
        <v>279.1666666667</v>
      </c>
      <c r="N349">
        <v>9</v>
      </c>
      <c r="O349" s="36">
        <f>Rådatakommune[[#This Row],[B16-O]]/Rådatakommune[[#This Row],[Landareal2016-O]]</f>
        <v>7.653500676756491</v>
      </c>
      <c r="P349" s="36">
        <f>Rådatakommune[[#This Row],[B16-O]]/Rådatakommune[[#This Row],[Totalareal2016-O]]</f>
        <v>7.5421365344973932</v>
      </c>
      <c r="Q349" s="38">
        <f>Rådatakommune[[#This Row],[B16-O]]/Rådatakommune[[#This Row],[B06-O]]-1</f>
        <v>-4.8929663608562657E-2</v>
      </c>
      <c r="R349" s="24">
        <f>Rådatakommune[[#This Row],[Kvinner20-39-O]]/Rådatakommune[[#This Row],[B16-O]]</f>
        <v>9.3247588424437297E-2</v>
      </c>
      <c r="S349" s="24">
        <f>Rådatakommune[[#This Row],[Eldre67+-O]]/Rådatakommune[[#This Row],[B16-O]]</f>
        <v>0.21945337620578778</v>
      </c>
      <c r="T349" s="24">
        <f>Rådatakommune[[#This Row],[S15-O]]/Rådatakommune[[#This Row],[S05-O]]-1</f>
        <v>-8.7576374745417462E-2</v>
      </c>
      <c r="U349" s="24">
        <f>Rådatakommune[[#This Row],[Y15-O]]/Rådatakommune[[#This Row],[Folk20-64-O]]</f>
        <v>0.85649546827794565</v>
      </c>
    </row>
    <row r="350" spans="1:21" x14ac:dyDescent="0.3">
      <c r="A350" s="2" t="s">
        <v>348</v>
      </c>
      <c r="B350" s="37">
        <v>516</v>
      </c>
      <c r="C350" s="37">
        <v>507</v>
      </c>
      <c r="D350" s="37">
        <v>239</v>
      </c>
      <c r="E350" s="40">
        <v>107</v>
      </c>
      <c r="F350" s="41">
        <v>47</v>
      </c>
      <c r="G350">
        <v>266</v>
      </c>
      <c r="H350" s="46">
        <v>201</v>
      </c>
      <c r="I350" s="37">
        <v>189</v>
      </c>
      <c r="J350" s="42">
        <v>516.84</v>
      </c>
      <c r="K350" s="5">
        <v>538.9</v>
      </c>
      <c r="L350" s="37">
        <v>346900</v>
      </c>
      <c r="M350" s="43">
        <v>247.2</v>
      </c>
      <c r="N350">
        <v>7</v>
      </c>
      <c r="O350" s="36">
        <f>Rådatakommune[[#This Row],[B16-O]]/Rådatakommune[[#This Row],[Landareal2016-O]]</f>
        <v>0.98096122591130708</v>
      </c>
      <c r="P350" s="36">
        <f>Rådatakommune[[#This Row],[B16-O]]/Rådatakommune[[#This Row],[Totalareal2016-O]]</f>
        <v>0.94080534421970685</v>
      </c>
      <c r="Q350" s="38">
        <f>Rådatakommune[[#This Row],[B16-O]]/Rådatakommune[[#This Row],[B06-O]]-1</f>
        <v>-1.744186046511631E-2</v>
      </c>
      <c r="R350" s="24">
        <f>Rådatakommune[[#This Row],[Kvinner20-39-O]]/Rådatakommune[[#This Row],[B16-O]]</f>
        <v>9.270216962524655E-2</v>
      </c>
      <c r="S350" s="24">
        <f>Rådatakommune[[#This Row],[Eldre67+-O]]/Rådatakommune[[#This Row],[B16-O]]</f>
        <v>0.21104536489151873</v>
      </c>
      <c r="T350" s="24">
        <f>Rådatakommune[[#This Row],[S15-O]]/Rådatakommune[[#This Row],[S05-O]]-1</f>
        <v>-5.9701492537313383E-2</v>
      </c>
      <c r="U350" s="24">
        <f>Rådatakommune[[#This Row],[Y15-O]]/Rådatakommune[[#This Row],[Folk20-64-O]]</f>
        <v>0.89849624060150379</v>
      </c>
    </row>
    <row r="351" spans="1:21" x14ac:dyDescent="0.3">
      <c r="A351" s="2" t="s">
        <v>349</v>
      </c>
      <c r="B351" s="37">
        <v>1725</v>
      </c>
      <c r="C351" s="37">
        <v>1743</v>
      </c>
      <c r="D351" s="37">
        <v>797</v>
      </c>
      <c r="E351" s="40">
        <v>325</v>
      </c>
      <c r="F351" s="41">
        <v>184</v>
      </c>
      <c r="G351">
        <v>1025</v>
      </c>
      <c r="H351" s="46">
        <v>785</v>
      </c>
      <c r="I351" s="37">
        <v>801</v>
      </c>
      <c r="J351" s="42">
        <v>63.81</v>
      </c>
      <c r="K351" s="5">
        <v>64.400000000000006</v>
      </c>
      <c r="L351" s="37">
        <v>359300</v>
      </c>
      <c r="M351" s="43">
        <v>266.48333333330004</v>
      </c>
      <c r="N351">
        <v>9</v>
      </c>
      <c r="O351" s="36">
        <f>Rådatakommune[[#This Row],[B16-O]]/Rådatakommune[[#This Row],[Landareal2016-O]]</f>
        <v>27.315467795016453</v>
      </c>
      <c r="P351" s="36">
        <f>Rådatakommune[[#This Row],[B16-O]]/Rådatakommune[[#This Row],[Totalareal2016-O]]</f>
        <v>27.065217391304344</v>
      </c>
      <c r="Q351" s="38">
        <f>Rådatakommune[[#This Row],[B16-O]]/Rådatakommune[[#This Row],[B06-O]]-1</f>
        <v>1.0434782608695681E-2</v>
      </c>
      <c r="R351" s="24">
        <f>Rådatakommune[[#This Row],[Kvinner20-39-O]]/Rådatakommune[[#This Row],[B16-O]]</f>
        <v>0.10556511761331039</v>
      </c>
      <c r="S351" s="24">
        <f>Rådatakommune[[#This Row],[Eldre67+-O]]/Rådatakommune[[#This Row],[B16-O]]</f>
        <v>0.18646012621916236</v>
      </c>
      <c r="T351" s="24">
        <f>Rådatakommune[[#This Row],[S15-O]]/Rådatakommune[[#This Row],[S05-O]]-1</f>
        <v>2.0382165605095537E-2</v>
      </c>
      <c r="U351" s="24">
        <f>Rådatakommune[[#This Row],[Y15-O]]/Rådatakommune[[#This Row],[Folk20-64-O]]</f>
        <v>0.77756097560975612</v>
      </c>
    </row>
    <row r="352" spans="1:21" x14ac:dyDescent="0.3">
      <c r="A352" s="2" t="s">
        <v>350</v>
      </c>
      <c r="B352" s="37">
        <v>7306</v>
      </c>
      <c r="C352" s="37">
        <v>7437</v>
      </c>
      <c r="D352" s="37">
        <v>3558</v>
      </c>
      <c r="E352" s="40">
        <v>1208</v>
      </c>
      <c r="F352" s="41">
        <v>852</v>
      </c>
      <c r="G352">
        <v>4284</v>
      </c>
      <c r="H352" s="46">
        <v>3493</v>
      </c>
      <c r="I352" s="37">
        <v>3912</v>
      </c>
      <c r="J352" s="42">
        <v>186.7</v>
      </c>
      <c r="K352" s="5">
        <v>187.60999999999999</v>
      </c>
      <c r="L352" s="37">
        <v>376900</v>
      </c>
      <c r="M352" s="43">
        <v>238.9</v>
      </c>
      <c r="N352">
        <v>7</v>
      </c>
      <c r="O352" s="36">
        <f>Rådatakommune[[#This Row],[B16-O]]/Rådatakommune[[#This Row],[Landareal2016-O]]</f>
        <v>39.833958221746116</v>
      </c>
      <c r="P352" s="36">
        <f>Rådatakommune[[#This Row],[B16-O]]/Rådatakommune[[#This Row],[Totalareal2016-O]]</f>
        <v>39.640744096796546</v>
      </c>
      <c r="Q352" s="38">
        <f>Rådatakommune[[#This Row],[B16-O]]/Rådatakommune[[#This Row],[B06-O]]-1</f>
        <v>1.7930468108404041E-2</v>
      </c>
      <c r="R352" s="24">
        <f>Rådatakommune[[#This Row],[Kvinner20-39-O]]/Rådatakommune[[#This Row],[B16-O]]</f>
        <v>0.1145623235175474</v>
      </c>
      <c r="S352" s="24">
        <f>Rådatakommune[[#This Row],[Eldre67+-O]]/Rådatakommune[[#This Row],[B16-O]]</f>
        <v>0.16243108780422214</v>
      </c>
      <c r="T352" s="24">
        <f>Rådatakommune[[#This Row],[S15-O]]/Rådatakommune[[#This Row],[S05-O]]-1</f>
        <v>0.11995419410249064</v>
      </c>
      <c r="U352" s="24">
        <f>Rådatakommune[[#This Row],[Y15-O]]/Rådatakommune[[#This Row],[Folk20-64-O]]</f>
        <v>0.83053221288515411</v>
      </c>
    </row>
    <row r="353" spans="1:21" x14ac:dyDescent="0.3">
      <c r="A353" s="2" t="s">
        <v>351</v>
      </c>
      <c r="B353" s="37">
        <v>2156</v>
      </c>
      <c r="C353" s="37">
        <v>2216</v>
      </c>
      <c r="D353" s="37">
        <v>1014</v>
      </c>
      <c r="E353" s="40">
        <v>358</v>
      </c>
      <c r="F353" s="41">
        <v>257</v>
      </c>
      <c r="G353">
        <v>1283</v>
      </c>
      <c r="H353" s="46">
        <v>710</v>
      </c>
      <c r="I353" s="37">
        <v>656</v>
      </c>
      <c r="J353" s="42">
        <v>451.04</v>
      </c>
      <c r="K353" s="5">
        <v>465.22</v>
      </c>
      <c r="L353" s="37">
        <v>345200</v>
      </c>
      <c r="M353" s="43">
        <v>251.4333333333</v>
      </c>
      <c r="N353">
        <v>7</v>
      </c>
      <c r="O353" s="36">
        <f>Rådatakommune[[#This Row],[B16-O]]/Rådatakommune[[#This Row],[Landareal2016-O]]</f>
        <v>4.9130897481376374</v>
      </c>
      <c r="P353" s="36">
        <f>Rådatakommune[[#This Row],[B16-O]]/Rådatakommune[[#This Row],[Totalareal2016-O]]</f>
        <v>4.7633377756760238</v>
      </c>
      <c r="Q353" s="38">
        <f>Rådatakommune[[#This Row],[B16-O]]/Rådatakommune[[#This Row],[B06-O]]-1</f>
        <v>2.7829313543599188E-2</v>
      </c>
      <c r="R353" s="24">
        <f>Rådatakommune[[#This Row],[Kvinner20-39-O]]/Rådatakommune[[#This Row],[B16-O]]</f>
        <v>0.11597472924187725</v>
      </c>
      <c r="S353" s="24">
        <f>Rådatakommune[[#This Row],[Eldre67+-O]]/Rådatakommune[[#This Row],[B16-O]]</f>
        <v>0.1615523465703971</v>
      </c>
      <c r="T353" s="24">
        <f>Rådatakommune[[#This Row],[S15-O]]/Rådatakommune[[#This Row],[S05-O]]-1</f>
        <v>-7.6056338028169024E-2</v>
      </c>
      <c r="U353" s="24">
        <f>Rådatakommune[[#This Row],[Y15-O]]/Rådatakommune[[#This Row],[Folk20-64-O]]</f>
        <v>0.79033515198752924</v>
      </c>
    </row>
    <row r="354" spans="1:21" x14ac:dyDescent="0.3">
      <c r="A354" s="2" t="s">
        <v>352</v>
      </c>
      <c r="B354" s="37">
        <v>13440</v>
      </c>
      <c r="C354" s="37">
        <v>13427</v>
      </c>
      <c r="D354" s="37">
        <v>6630</v>
      </c>
      <c r="E354" s="40">
        <v>2376</v>
      </c>
      <c r="F354" s="41">
        <v>1496</v>
      </c>
      <c r="G354">
        <v>7622</v>
      </c>
      <c r="H354" s="46">
        <v>6598</v>
      </c>
      <c r="I354" s="37">
        <v>6707</v>
      </c>
      <c r="J354" s="42">
        <v>1838.95</v>
      </c>
      <c r="K354" s="5">
        <v>1928.5900000000001</v>
      </c>
      <c r="L354" s="37">
        <v>378200</v>
      </c>
      <c r="M354" s="43">
        <v>236.11666666667</v>
      </c>
      <c r="N354">
        <v>6</v>
      </c>
      <c r="O354" s="36">
        <f>Rådatakommune[[#This Row],[B16-O]]/Rådatakommune[[#This Row],[Landareal2016-O]]</f>
        <v>7.3014491965523804</v>
      </c>
      <c r="P354" s="36">
        <f>Rådatakommune[[#This Row],[B16-O]]/Rådatakommune[[#This Row],[Totalareal2016-O]]</f>
        <v>6.9620811058856464</v>
      </c>
      <c r="Q354" s="38">
        <f>Rådatakommune[[#This Row],[B16-O]]/Rådatakommune[[#This Row],[B06-O]]-1</f>
        <v>-9.6726190476192908E-4</v>
      </c>
      <c r="R354" s="24">
        <f>Rådatakommune[[#This Row],[Kvinner20-39-O]]/Rådatakommune[[#This Row],[B16-O]]</f>
        <v>0.11141729351307068</v>
      </c>
      <c r="S354" s="24">
        <f>Rådatakommune[[#This Row],[Eldre67+-O]]/Rådatakommune[[#This Row],[B16-O]]</f>
        <v>0.17695687793252401</v>
      </c>
      <c r="T354" s="24">
        <f>Rådatakommune[[#This Row],[S15-O]]/Rådatakommune[[#This Row],[S05-O]]-1</f>
        <v>1.6520157623522325E-2</v>
      </c>
      <c r="U354" s="24">
        <f>Rådatakommune[[#This Row],[Y15-O]]/Rådatakommune[[#This Row],[Folk20-64-O]]</f>
        <v>0.86985043295722908</v>
      </c>
    </row>
    <row r="355" spans="1:21" x14ac:dyDescent="0.3">
      <c r="A355" s="2" t="s">
        <v>353</v>
      </c>
      <c r="B355" s="37">
        <v>1543</v>
      </c>
      <c r="C355" s="37">
        <v>1462</v>
      </c>
      <c r="D355" s="37">
        <v>699</v>
      </c>
      <c r="E355" s="40">
        <v>316</v>
      </c>
      <c r="F355" s="41">
        <v>137</v>
      </c>
      <c r="G355">
        <v>794</v>
      </c>
      <c r="H355" s="46">
        <v>543</v>
      </c>
      <c r="I355" s="37">
        <v>513</v>
      </c>
      <c r="J355" s="42">
        <v>1883.49</v>
      </c>
      <c r="K355" s="5">
        <v>2004.15</v>
      </c>
      <c r="L355" s="37">
        <v>355500</v>
      </c>
      <c r="M355" s="43">
        <v>260.6666666667</v>
      </c>
      <c r="N355">
        <v>6</v>
      </c>
      <c r="O355" s="36">
        <f>Rådatakommune[[#This Row],[B16-O]]/Rådatakommune[[#This Row],[Landareal2016-O]]</f>
        <v>0.77621861544260917</v>
      </c>
      <c r="P355" s="36">
        <f>Rådatakommune[[#This Row],[B16-O]]/Rådatakommune[[#This Row],[Totalareal2016-O]]</f>
        <v>0.72948631589451884</v>
      </c>
      <c r="Q355" s="38">
        <f>Rådatakommune[[#This Row],[B16-O]]/Rådatakommune[[#This Row],[B06-O]]-1</f>
        <v>-5.2495139338950114E-2</v>
      </c>
      <c r="R355" s="24">
        <f>Rådatakommune[[#This Row],[Kvinner20-39-O]]/Rådatakommune[[#This Row],[B16-O]]</f>
        <v>9.370725034199727E-2</v>
      </c>
      <c r="S355" s="24">
        <f>Rådatakommune[[#This Row],[Eldre67+-O]]/Rådatakommune[[#This Row],[B16-O]]</f>
        <v>0.2161422708618331</v>
      </c>
      <c r="T355" s="24">
        <f>Rådatakommune[[#This Row],[S15-O]]/Rådatakommune[[#This Row],[S05-O]]-1</f>
        <v>-5.5248618784530357E-2</v>
      </c>
      <c r="U355" s="24">
        <f>Rådatakommune[[#This Row],[Y15-O]]/Rådatakommune[[#This Row],[Folk20-64-O]]</f>
        <v>0.88035264483627207</v>
      </c>
    </row>
    <row r="356" spans="1:21" x14ac:dyDescent="0.3">
      <c r="A356" s="2" t="s">
        <v>354</v>
      </c>
      <c r="B356" s="37">
        <v>1503</v>
      </c>
      <c r="C356" s="37">
        <v>1465</v>
      </c>
      <c r="D356" s="37">
        <v>701</v>
      </c>
      <c r="E356" s="40">
        <v>335</v>
      </c>
      <c r="F356" s="41">
        <v>116</v>
      </c>
      <c r="G356">
        <v>755</v>
      </c>
      <c r="H356" s="46">
        <v>624</v>
      </c>
      <c r="I356" s="37">
        <v>635</v>
      </c>
      <c r="J356" s="42">
        <v>2413.4499999999998</v>
      </c>
      <c r="K356" s="5">
        <v>2684.31</v>
      </c>
      <c r="L356" s="37">
        <v>296400</v>
      </c>
      <c r="M356" s="43">
        <v>286.45</v>
      </c>
      <c r="N356">
        <v>11</v>
      </c>
      <c r="O356" s="36">
        <f>Rådatakommune[[#This Row],[B16-O]]/Rådatakommune[[#This Row],[Landareal2016-O]]</f>
        <v>0.60701485425428336</v>
      </c>
      <c r="P356" s="36">
        <f>Rådatakommune[[#This Row],[B16-O]]/Rådatakommune[[#This Row],[Totalareal2016-O]]</f>
        <v>0.54576408835045132</v>
      </c>
      <c r="Q356" s="38">
        <f>Rådatakommune[[#This Row],[B16-O]]/Rådatakommune[[#This Row],[B06-O]]-1</f>
        <v>-2.528276779773786E-2</v>
      </c>
      <c r="R356" s="24">
        <f>Rådatakommune[[#This Row],[Kvinner20-39-O]]/Rådatakommune[[#This Row],[B16-O]]</f>
        <v>7.9180887372013647E-2</v>
      </c>
      <c r="S356" s="24">
        <f>Rådatakommune[[#This Row],[Eldre67+-O]]/Rådatakommune[[#This Row],[B16-O]]</f>
        <v>0.22866894197952217</v>
      </c>
      <c r="T356" s="24">
        <f>Rådatakommune[[#This Row],[S15-O]]/Rådatakommune[[#This Row],[S05-O]]-1</f>
        <v>1.7628205128205066E-2</v>
      </c>
      <c r="U356" s="24">
        <f>Rådatakommune[[#This Row],[Y15-O]]/Rådatakommune[[#This Row],[Folk20-64-O]]</f>
        <v>0.92847682119205299</v>
      </c>
    </row>
    <row r="357" spans="1:21" x14ac:dyDescent="0.3">
      <c r="A357" s="2" t="s">
        <v>355</v>
      </c>
      <c r="B357" s="37">
        <v>1507</v>
      </c>
      <c r="C357" s="37">
        <v>1402</v>
      </c>
      <c r="D357" s="37">
        <v>636</v>
      </c>
      <c r="E357" s="40">
        <v>281</v>
      </c>
      <c r="F357" s="41">
        <v>114</v>
      </c>
      <c r="G357">
        <v>762</v>
      </c>
      <c r="H357" s="46">
        <v>569</v>
      </c>
      <c r="I357" s="37">
        <v>527</v>
      </c>
      <c r="J357" s="42">
        <v>186.31</v>
      </c>
      <c r="K357" s="5">
        <v>191.94</v>
      </c>
      <c r="L357" s="37">
        <v>369400</v>
      </c>
      <c r="M357" s="43">
        <v>280.4166666667</v>
      </c>
      <c r="N357">
        <v>7</v>
      </c>
      <c r="O357" s="36">
        <f>Rådatakommune[[#This Row],[B16-O]]/Rådatakommune[[#This Row],[Landareal2016-O]]</f>
        <v>7.5250925876227788</v>
      </c>
      <c r="P357" s="36">
        <f>Rådatakommune[[#This Row],[B16-O]]/Rådatakommune[[#This Row],[Totalareal2016-O]]</f>
        <v>7.3043659476919869</v>
      </c>
      <c r="Q357" s="38">
        <f>Rådatakommune[[#This Row],[B16-O]]/Rådatakommune[[#This Row],[B06-O]]-1</f>
        <v>-6.9674850696748503E-2</v>
      </c>
      <c r="R357" s="24">
        <f>Rådatakommune[[#This Row],[Kvinner20-39-O]]/Rådatakommune[[#This Row],[B16-O]]</f>
        <v>8.1312410841654775E-2</v>
      </c>
      <c r="S357" s="24">
        <f>Rådatakommune[[#This Row],[Eldre67+-O]]/Rådatakommune[[#This Row],[B16-O]]</f>
        <v>0.20042796005706134</v>
      </c>
      <c r="T357" s="24">
        <f>Rådatakommune[[#This Row],[S15-O]]/Rådatakommune[[#This Row],[S05-O]]-1</f>
        <v>-7.3813708260105471E-2</v>
      </c>
      <c r="U357" s="24">
        <f>Rådatakommune[[#This Row],[Y15-O]]/Rådatakommune[[#This Row],[Folk20-64-O]]</f>
        <v>0.83464566929133854</v>
      </c>
    </row>
    <row r="358" spans="1:21" x14ac:dyDescent="0.3">
      <c r="A358" s="2" t="s">
        <v>356</v>
      </c>
      <c r="B358" s="37">
        <v>1769</v>
      </c>
      <c r="C358" s="37">
        <v>1838</v>
      </c>
      <c r="D358" s="37">
        <v>830</v>
      </c>
      <c r="E358" s="40">
        <v>290</v>
      </c>
      <c r="F358" s="41">
        <v>224</v>
      </c>
      <c r="G358">
        <v>1053</v>
      </c>
      <c r="H358" s="46">
        <v>793</v>
      </c>
      <c r="I358" s="37">
        <v>834</v>
      </c>
      <c r="J358" s="42">
        <v>181.38</v>
      </c>
      <c r="K358" s="5">
        <v>183.18</v>
      </c>
      <c r="L358" s="37">
        <v>311000</v>
      </c>
      <c r="M358" s="43">
        <v>297.95</v>
      </c>
      <c r="N358">
        <v>5</v>
      </c>
      <c r="O358" s="36">
        <f>Rådatakommune[[#This Row],[B16-O]]/Rådatakommune[[#This Row],[Landareal2016-O]]</f>
        <v>10.133421545925682</v>
      </c>
      <c r="P358" s="36">
        <f>Rådatakommune[[#This Row],[B16-O]]/Rådatakommune[[#This Row],[Totalareal2016-O]]</f>
        <v>10.033846489791461</v>
      </c>
      <c r="Q358" s="38">
        <f>Rådatakommune[[#This Row],[B16-O]]/Rådatakommune[[#This Row],[B06-O]]-1</f>
        <v>3.9005087620124446E-2</v>
      </c>
      <c r="R358" s="24">
        <f>Rådatakommune[[#This Row],[Kvinner20-39-O]]/Rådatakommune[[#This Row],[B16-O]]</f>
        <v>0.12187159956474429</v>
      </c>
      <c r="S358" s="24">
        <f>Rådatakommune[[#This Row],[Eldre67+-O]]/Rådatakommune[[#This Row],[B16-O]]</f>
        <v>0.15778019586507072</v>
      </c>
      <c r="T358" s="24">
        <f>Rådatakommune[[#This Row],[S15-O]]/Rådatakommune[[#This Row],[S05-O]]-1</f>
        <v>5.170239596469095E-2</v>
      </c>
      <c r="U358" s="24">
        <f>Rådatakommune[[#This Row],[Y15-O]]/Rådatakommune[[#This Row],[Folk20-64-O]]</f>
        <v>0.78822412155745492</v>
      </c>
    </row>
    <row r="359" spans="1:21" x14ac:dyDescent="0.3">
      <c r="A359" s="2" t="s">
        <v>357</v>
      </c>
      <c r="B359" s="37">
        <v>4542</v>
      </c>
      <c r="C359" s="37">
        <v>4486</v>
      </c>
      <c r="D359" s="37">
        <v>2061</v>
      </c>
      <c r="E359" s="40">
        <v>920</v>
      </c>
      <c r="F359" s="41">
        <v>462</v>
      </c>
      <c r="G359">
        <v>2434</v>
      </c>
      <c r="H359" s="46">
        <v>1505</v>
      </c>
      <c r="I359" s="37">
        <v>1727</v>
      </c>
      <c r="J359" s="42">
        <v>1430.07</v>
      </c>
      <c r="K359" s="5">
        <v>1588.73</v>
      </c>
      <c r="L359" s="37">
        <v>352000</v>
      </c>
      <c r="M359" s="43">
        <v>275.21666666670001</v>
      </c>
      <c r="N359">
        <v>5</v>
      </c>
      <c r="O359" s="36">
        <f>Rådatakommune[[#This Row],[B16-O]]/Rådatakommune[[#This Row],[Landareal2016-O]]</f>
        <v>3.1369093820582212</v>
      </c>
      <c r="P359" s="36">
        <f>Rådatakommune[[#This Row],[B16-O]]/Rådatakommune[[#This Row],[Totalareal2016-O]]</f>
        <v>2.8236390072573689</v>
      </c>
      <c r="Q359" s="38">
        <f>Rådatakommune[[#This Row],[B16-O]]/Rådatakommune[[#This Row],[B06-O]]-1</f>
        <v>-1.2329370321444322E-2</v>
      </c>
      <c r="R359" s="24">
        <f>Rådatakommune[[#This Row],[Kvinner20-39-O]]/Rådatakommune[[#This Row],[B16-O]]</f>
        <v>0.10298707088720464</v>
      </c>
      <c r="S359" s="24">
        <f>Rådatakommune[[#This Row],[Eldre67+-O]]/Rådatakommune[[#This Row],[B16-O]]</f>
        <v>0.2050824788230049</v>
      </c>
      <c r="T359" s="24">
        <f>Rådatakommune[[#This Row],[S15-O]]/Rådatakommune[[#This Row],[S05-O]]-1</f>
        <v>0.14750830564784057</v>
      </c>
      <c r="U359" s="24">
        <f>Rådatakommune[[#This Row],[Y15-O]]/Rådatakommune[[#This Row],[Folk20-64-O]]</f>
        <v>0.84675431388660638</v>
      </c>
    </row>
    <row r="360" spans="1:21" x14ac:dyDescent="0.3">
      <c r="A360" s="2" t="s">
        <v>358</v>
      </c>
      <c r="B360" s="37">
        <v>25355</v>
      </c>
      <c r="C360" s="37">
        <v>26039</v>
      </c>
      <c r="D360" s="37">
        <v>12688</v>
      </c>
      <c r="E360" s="40">
        <v>4224</v>
      </c>
      <c r="F360" s="41">
        <v>2941</v>
      </c>
      <c r="G360">
        <v>15033</v>
      </c>
      <c r="H360" s="46">
        <v>11342</v>
      </c>
      <c r="I360" s="37">
        <v>12816</v>
      </c>
      <c r="J360" s="42">
        <v>4203.83</v>
      </c>
      <c r="K360" s="5">
        <v>4459.93</v>
      </c>
      <c r="L360" s="37">
        <v>380400</v>
      </c>
      <c r="M360" s="43">
        <v>255.1666666667</v>
      </c>
      <c r="N360">
        <v>5</v>
      </c>
      <c r="O360" s="36">
        <f>Rådatakommune[[#This Row],[B16-O]]/Rådatakommune[[#This Row],[Landareal2016-O]]</f>
        <v>6.1941134631990353</v>
      </c>
      <c r="P360" s="36">
        <f>Rådatakommune[[#This Row],[B16-O]]/Rådatakommune[[#This Row],[Totalareal2016-O]]</f>
        <v>5.8384324417647804</v>
      </c>
      <c r="Q360" s="38">
        <f>Rådatakommune[[#This Row],[B16-O]]/Rådatakommune[[#This Row],[B06-O]]-1</f>
        <v>2.6976927627686775E-2</v>
      </c>
      <c r="R360" s="24">
        <f>Rådatakommune[[#This Row],[Kvinner20-39-O]]/Rådatakommune[[#This Row],[B16-O]]</f>
        <v>0.11294596566688429</v>
      </c>
      <c r="S360" s="24">
        <f>Rådatakommune[[#This Row],[Eldre67+-O]]/Rådatakommune[[#This Row],[B16-O]]</f>
        <v>0.16221821114482124</v>
      </c>
      <c r="T360" s="24">
        <f>Rådatakommune[[#This Row],[S15-O]]/Rådatakommune[[#This Row],[S05-O]]-1</f>
        <v>0.12995944277905136</v>
      </c>
      <c r="U360" s="24">
        <f>Rådatakommune[[#This Row],[Y15-O]]/Rådatakommune[[#This Row],[Folk20-64-O]]</f>
        <v>0.84400984500764986</v>
      </c>
    </row>
    <row r="361" spans="1:21" x14ac:dyDescent="0.3">
      <c r="A361" s="2" t="s">
        <v>359</v>
      </c>
      <c r="B361" s="37">
        <v>1971</v>
      </c>
      <c r="C361" s="37">
        <v>1923</v>
      </c>
      <c r="D361" s="37">
        <v>941</v>
      </c>
      <c r="E361" s="40">
        <v>400</v>
      </c>
      <c r="F361" s="41">
        <v>183</v>
      </c>
      <c r="G361">
        <v>1041</v>
      </c>
      <c r="H361" s="46">
        <v>823</v>
      </c>
      <c r="I361" s="37">
        <v>919</v>
      </c>
      <c r="J361" s="42">
        <v>258.27</v>
      </c>
      <c r="K361" s="5">
        <v>265.18</v>
      </c>
      <c r="L361" s="37">
        <v>390800</v>
      </c>
      <c r="M361" s="43">
        <v>368.98333333300002</v>
      </c>
      <c r="N361">
        <v>11</v>
      </c>
      <c r="O361" s="36">
        <f>Rådatakommune[[#This Row],[B16-O]]/Rådatakommune[[#This Row],[Landareal2016-O]]</f>
        <v>7.445696364269951</v>
      </c>
      <c r="P361" s="36">
        <f>Rådatakommune[[#This Row],[B16-O]]/Rådatakommune[[#This Row],[Totalareal2016-O]]</f>
        <v>7.2516781054378159</v>
      </c>
      <c r="Q361" s="38">
        <f>Rådatakommune[[#This Row],[B16-O]]/Rådatakommune[[#This Row],[B06-O]]-1</f>
        <v>-2.4353120243531201E-2</v>
      </c>
      <c r="R361" s="24">
        <f>Rådatakommune[[#This Row],[Kvinner20-39-O]]/Rådatakommune[[#This Row],[B16-O]]</f>
        <v>9.5163806552262087E-2</v>
      </c>
      <c r="S361" s="24">
        <f>Rådatakommune[[#This Row],[Eldre67+-O]]/Rådatakommune[[#This Row],[B16-O]]</f>
        <v>0.2080083203328133</v>
      </c>
      <c r="T361" s="24">
        <f>Rådatakommune[[#This Row],[S15-O]]/Rådatakommune[[#This Row],[S05-O]]-1</f>
        <v>0.11664641555285549</v>
      </c>
      <c r="U361" s="24">
        <f>Rådatakommune[[#This Row],[Y15-O]]/Rådatakommune[[#This Row],[Folk20-64-O]]</f>
        <v>0.90393852065321811</v>
      </c>
    </row>
    <row r="362" spans="1:21" x14ac:dyDescent="0.3">
      <c r="A362" s="2" t="s">
        <v>360</v>
      </c>
      <c r="B362" s="37">
        <v>453</v>
      </c>
      <c r="C362" s="37">
        <v>478</v>
      </c>
      <c r="D362" s="37">
        <v>244</v>
      </c>
      <c r="E362" s="40">
        <v>75</v>
      </c>
      <c r="F362" s="41">
        <v>59</v>
      </c>
      <c r="G362">
        <v>278</v>
      </c>
      <c r="H362" s="46">
        <v>210</v>
      </c>
      <c r="I362" s="37">
        <v>230</v>
      </c>
      <c r="J362" s="42">
        <v>16.46</v>
      </c>
      <c r="K362" s="5">
        <v>16.52</v>
      </c>
      <c r="L362" s="37">
        <v>349400</v>
      </c>
      <c r="M362" s="43">
        <v>398.9</v>
      </c>
      <c r="N362">
        <v>11</v>
      </c>
      <c r="O362" s="36">
        <f>Rådatakommune[[#This Row],[B16-O]]/Rådatakommune[[#This Row],[Landareal2016-O]]</f>
        <v>29.040097205346292</v>
      </c>
      <c r="P362" s="36">
        <f>Rådatakommune[[#This Row],[B16-O]]/Rådatakommune[[#This Row],[Totalareal2016-O]]</f>
        <v>28.934624697336563</v>
      </c>
      <c r="Q362" s="38">
        <f>Rådatakommune[[#This Row],[B16-O]]/Rådatakommune[[#This Row],[B06-O]]-1</f>
        <v>5.5187637969094983E-2</v>
      </c>
      <c r="R362" s="24">
        <f>Rådatakommune[[#This Row],[Kvinner20-39-O]]/Rådatakommune[[#This Row],[B16-O]]</f>
        <v>0.12343096234309624</v>
      </c>
      <c r="S362" s="24">
        <f>Rådatakommune[[#This Row],[Eldre67+-O]]/Rådatakommune[[#This Row],[B16-O]]</f>
        <v>0.15690376569037656</v>
      </c>
      <c r="T362" s="24">
        <f>Rådatakommune[[#This Row],[S15-O]]/Rådatakommune[[#This Row],[S05-O]]-1</f>
        <v>9.5238095238095344E-2</v>
      </c>
      <c r="U362" s="24">
        <f>Rådatakommune[[#This Row],[Y15-O]]/Rådatakommune[[#This Row],[Folk20-64-O]]</f>
        <v>0.87769784172661869</v>
      </c>
    </row>
    <row r="363" spans="1:21" x14ac:dyDescent="0.3">
      <c r="A363" s="2" t="s">
        <v>361</v>
      </c>
      <c r="B363" s="37">
        <v>1376</v>
      </c>
      <c r="C363" s="37">
        <v>1268</v>
      </c>
      <c r="D363" s="37">
        <v>609</v>
      </c>
      <c r="E363" s="40">
        <v>233</v>
      </c>
      <c r="F363" s="41">
        <v>127</v>
      </c>
      <c r="G363">
        <v>663</v>
      </c>
      <c r="H363" s="46">
        <v>595</v>
      </c>
      <c r="I363" s="37">
        <v>522</v>
      </c>
      <c r="J363" s="42">
        <v>686.16</v>
      </c>
      <c r="K363" s="5">
        <v>711.29</v>
      </c>
      <c r="L363" s="37">
        <v>356600</v>
      </c>
      <c r="M363" s="43">
        <v>346.51666666699998</v>
      </c>
      <c r="N363">
        <v>11</v>
      </c>
      <c r="O363" s="36">
        <f>Rådatakommune[[#This Row],[B16-O]]/Rådatakommune[[#This Row],[Landareal2016-O]]</f>
        <v>1.8479654890987525</v>
      </c>
      <c r="P363" s="36">
        <f>Rådatakommune[[#This Row],[B16-O]]/Rådatakommune[[#This Row],[Totalareal2016-O]]</f>
        <v>1.7826765454315399</v>
      </c>
      <c r="Q363" s="38">
        <f>Rådatakommune[[#This Row],[B16-O]]/Rådatakommune[[#This Row],[B06-O]]-1</f>
        <v>-7.8488372093023284E-2</v>
      </c>
      <c r="R363" s="24">
        <f>Rådatakommune[[#This Row],[Kvinner20-39-O]]/Rådatakommune[[#This Row],[B16-O]]</f>
        <v>0.10015772870662461</v>
      </c>
      <c r="S363" s="24">
        <f>Rådatakommune[[#This Row],[Eldre67+-O]]/Rådatakommune[[#This Row],[B16-O]]</f>
        <v>0.18375394321766561</v>
      </c>
      <c r="T363" s="24">
        <f>Rådatakommune[[#This Row],[S15-O]]/Rådatakommune[[#This Row],[S05-O]]-1</f>
        <v>-0.12268907563025211</v>
      </c>
      <c r="U363" s="24">
        <f>Rådatakommune[[#This Row],[Y15-O]]/Rådatakommune[[#This Row],[Folk20-64-O]]</f>
        <v>0.91855203619909498</v>
      </c>
    </row>
    <row r="364" spans="1:21" x14ac:dyDescent="0.3">
      <c r="A364" s="2" t="s">
        <v>362</v>
      </c>
      <c r="B364" s="37">
        <v>6715</v>
      </c>
      <c r="C364" s="37">
        <v>6471</v>
      </c>
      <c r="D364" s="37">
        <v>3052</v>
      </c>
      <c r="E364" s="40">
        <v>1163</v>
      </c>
      <c r="F364" s="41">
        <v>658</v>
      </c>
      <c r="G364">
        <v>3568</v>
      </c>
      <c r="H364" s="46">
        <v>2920</v>
      </c>
      <c r="I364" s="37">
        <v>2854</v>
      </c>
      <c r="J364" s="42">
        <v>798.1</v>
      </c>
      <c r="K364" s="5">
        <v>873.83</v>
      </c>
      <c r="L364" s="37">
        <v>386200</v>
      </c>
      <c r="M364" s="43">
        <v>280.81666666670003</v>
      </c>
      <c r="N364">
        <v>10</v>
      </c>
      <c r="O364" s="36">
        <f>Rådatakommune[[#This Row],[B16-O]]/Rådatakommune[[#This Row],[Landareal2016-O]]</f>
        <v>8.1080065154742513</v>
      </c>
      <c r="P364" s="36">
        <f>Rådatakommune[[#This Row],[B16-O]]/Rådatakommune[[#This Row],[Totalareal2016-O]]</f>
        <v>7.4053305562866916</v>
      </c>
      <c r="Q364" s="38">
        <f>Rådatakommune[[#This Row],[B16-O]]/Rådatakommune[[#This Row],[B06-O]]-1</f>
        <v>-3.6336559940431834E-2</v>
      </c>
      <c r="R364" s="24">
        <f>Rådatakommune[[#This Row],[Kvinner20-39-O]]/Rådatakommune[[#This Row],[B16-O]]</f>
        <v>0.10168443826301962</v>
      </c>
      <c r="S364" s="24">
        <f>Rådatakommune[[#This Row],[Eldre67+-O]]/Rådatakommune[[#This Row],[B16-O]]</f>
        <v>0.17972492659558029</v>
      </c>
      <c r="T364" s="24">
        <f>Rådatakommune[[#This Row],[S15-O]]/Rådatakommune[[#This Row],[S05-O]]-1</f>
        <v>-2.2602739726027443E-2</v>
      </c>
      <c r="U364" s="24">
        <f>Rådatakommune[[#This Row],[Y15-O]]/Rådatakommune[[#This Row],[Folk20-64-O]]</f>
        <v>0.85538116591928248</v>
      </c>
    </row>
    <row r="365" spans="1:21" x14ac:dyDescent="0.3">
      <c r="A365" s="2" t="s">
        <v>363</v>
      </c>
      <c r="B365" s="37">
        <v>2107</v>
      </c>
      <c r="C365" s="37">
        <v>2043</v>
      </c>
      <c r="D365" s="37">
        <v>928</v>
      </c>
      <c r="E365" s="40">
        <v>438</v>
      </c>
      <c r="F365" s="41">
        <v>202</v>
      </c>
      <c r="G365">
        <v>1110</v>
      </c>
      <c r="H365" s="46">
        <v>758</v>
      </c>
      <c r="I365" s="37">
        <v>804</v>
      </c>
      <c r="J365" s="42">
        <v>622.27</v>
      </c>
      <c r="K365" s="5">
        <v>664.68</v>
      </c>
      <c r="L365" s="37">
        <v>358500</v>
      </c>
      <c r="M365" s="43">
        <v>258.45</v>
      </c>
      <c r="N365">
        <v>8</v>
      </c>
      <c r="O365" s="36">
        <f>Rådatakommune[[#This Row],[B16-O]]/Rådatakommune[[#This Row],[Landareal2016-O]]</f>
        <v>3.2831407588345898</v>
      </c>
      <c r="P365" s="36">
        <f>Rådatakommune[[#This Row],[B16-O]]/Rådatakommune[[#This Row],[Totalareal2016-O]]</f>
        <v>3.0736595053258715</v>
      </c>
      <c r="Q365" s="38">
        <f>Rådatakommune[[#This Row],[B16-O]]/Rådatakommune[[#This Row],[B06-O]]-1</f>
        <v>-3.0374940673943973E-2</v>
      </c>
      <c r="R365" s="24">
        <f>Rådatakommune[[#This Row],[Kvinner20-39-O]]/Rådatakommune[[#This Row],[B16-O]]</f>
        <v>9.8874204601076848E-2</v>
      </c>
      <c r="S365" s="24">
        <f>Rådatakommune[[#This Row],[Eldre67+-O]]/Rådatakommune[[#This Row],[B16-O]]</f>
        <v>0.21439060205580029</v>
      </c>
      <c r="T365" s="24">
        <f>Rådatakommune[[#This Row],[S15-O]]/Rådatakommune[[#This Row],[S05-O]]-1</f>
        <v>6.0686015831134643E-2</v>
      </c>
      <c r="U365" s="24">
        <f>Rådatakommune[[#This Row],[Y15-O]]/Rådatakommune[[#This Row],[Folk20-64-O]]</f>
        <v>0.83603603603603605</v>
      </c>
    </row>
    <row r="366" spans="1:21" x14ac:dyDescent="0.3">
      <c r="A366" s="2" t="s">
        <v>364</v>
      </c>
      <c r="B366" s="37">
        <v>1159</v>
      </c>
      <c r="C366" s="37">
        <v>1034</v>
      </c>
      <c r="D366" s="37">
        <v>489</v>
      </c>
      <c r="E366" s="40">
        <v>267</v>
      </c>
      <c r="F366" s="41">
        <v>78</v>
      </c>
      <c r="G366">
        <v>548</v>
      </c>
      <c r="H366" s="46">
        <v>436</v>
      </c>
      <c r="I366" s="37">
        <v>447</v>
      </c>
      <c r="J366" s="42">
        <v>1180.94</v>
      </c>
      <c r="K366" s="5">
        <v>1221.77</v>
      </c>
      <c r="L366" s="37">
        <v>326300</v>
      </c>
      <c r="M366" s="43">
        <v>272.98333333329998</v>
      </c>
      <c r="N366">
        <v>11</v>
      </c>
      <c r="O366" s="36">
        <f>Rådatakommune[[#This Row],[B16-O]]/Rådatakommune[[#This Row],[Landareal2016-O]]</f>
        <v>0.87557369553067887</v>
      </c>
      <c r="P366" s="36">
        <f>Rådatakommune[[#This Row],[B16-O]]/Rådatakommune[[#This Row],[Totalareal2016-O]]</f>
        <v>0.84631313586026835</v>
      </c>
      <c r="Q366" s="38">
        <f>Rådatakommune[[#This Row],[B16-O]]/Rådatakommune[[#This Row],[B06-O]]-1</f>
        <v>-0.10785159620362383</v>
      </c>
      <c r="R366" s="24">
        <f>Rådatakommune[[#This Row],[Kvinner20-39-O]]/Rådatakommune[[#This Row],[B16-O]]</f>
        <v>7.5435203094777567E-2</v>
      </c>
      <c r="S366" s="24">
        <f>Rådatakommune[[#This Row],[Eldre67+-O]]/Rådatakommune[[#This Row],[B16-O]]</f>
        <v>0.25822050290135395</v>
      </c>
      <c r="T366" s="24">
        <f>Rådatakommune[[#This Row],[S15-O]]/Rådatakommune[[#This Row],[S05-O]]-1</f>
        <v>2.5229357798165042E-2</v>
      </c>
      <c r="U366" s="24">
        <f>Rådatakommune[[#This Row],[Y15-O]]/Rådatakommune[[#This Row],[Folk20-64-O]]</f>
        <v>0.89233576642335766</v>
      </c>
    </row>
    <row r="367" spans="1:21" x14ac:dyDescent="0.3">
      <c r="A367" s="2" t="s">
        <v>365</v>
      </c>
      <c r="B367" s="37">
        <v>4751</v>
      </c>
      <c r="C367" s="37">
        <v>4700</v>
      </c>
      <c r="D367" s="37">
        <v>2233</v>
      </c>
      <c r="E367" s="40">
        <v>900</v>
      </c>
      <c r="F367" s="41">
        <v>486</v>
      </c>
      <c r="G367">
        <v>2621</v>
      </c>
      <c r="H367" s="46">
        <v>2034</v>
      </c>
      <c r="I367" s="37">
        <v>2068</v>
      </c>
      <c r="J367" s="42">
        <v>2085.58</v>
      </c>
      <c r="K367" s="5">
        <v>2216.17</v>
      </c>
      <c r="L367" s="37">
        <v>350000</v>
      </c>
      <c r="M367" s="43">
        <v>256.85000000000002</v>
      </c>
      <c r="N367">
        <v>6</v>
      </c>
      <c r="O367" s="36">
        <f>Rådatakommune[[#This Row],[B16-O]]/Rådatakommune[[#This Row],[Landareal2016-O]]</f>
        <v>2.2535697503811889</v>
      </c>
      <c r="P367" s="36">
        <f>Rådatakommune[[#This Row],[B16-O]]/Rådatakommune[[#This Row],[Totalareal2016-O]]</f>
        <v>2.120775933254218</v>
      </c>
      <c r="Q367" s="38">
        <f>Rådatakommune[[#This Row],[B16-O]]/Rådatakommune[[#This Row],[B06-O]]-1</f>
        <v>-1.0734582193222431E-2</v>
      </c>
      <c r="R367" s="24">
        <f>Rådatakommune[[#This Row],[Kvinner20-39-O]]/Rådatakommune[[#This Row],[B16-O]]</f>
        <v>0.10340425531914893</v>
      </c>
      <c r="S367" s="24">
        <f>Rådatakommune[[#This Row],[Eldre67+-O]]/Rådatakommune[[#This Row],[B16-O]]</f>
        <v>0.19148936170212766</v>
      </c>
      <c r="T367" s="24">
        <f>Rådatakommune[[#This Row],[S15-O]]/Rådatakommune[[#This Row],[S05-O]]-1</f>
        <v>1.6715830875122961E-2</v>
      </c>
      <c r="U367" s="24">
        <f>Rådatakommune[[#This Row],[Y15-O]]/Rådatakommune[[#This Row],[Folk20-64-O]]</f>
        <v>0.85196489889355209</v>
      </c>
    </row>
    <row r="368" spans="1:21" x14ac:dyDescent="0.3">
      <c r="A368" s="2" t="s">
        <v>366</v>
      </c>
      <c r="B368" s="37">
        <v>9551</v>
      </c>
      <c r="C368" s="37">
        <v>9604</v>
      </c>
      <c r="D368" s="37">
        <v>4642</v>
      </c>
      <c r="E368" s="40">
        <v>1751</v>
      </c>
      <c r="F368" s="41">
        <v>1029</v>
      </c>
      <c r="G368">
        <v>5469</v>
      </c>
      <c r="H368" s="46">
        <v>3501</v>
      </c>
      <c r="I368" s="37">
        <v>3931</v>
      </c>
      <c r="J368" s="42">
        <v>1107.21</v>
      </c>
      <c r="K368" s="5">
        <v>1209.6100000000001</v>
      </c>
      <c r="L368" s="37">
        <v>378000</v>
      </c>
      <c r="M368" s="43">
        <v>231.1666666667</v>
      </c>
      <c r="N368">
        <v>5</v>
      </c>
      <c r="O368" s="36">
        <f>Rådatakommune[[#This Row],[B16-O]]/Rådatakommune[[#This Row],[Landareal2016-O]]</f>
        <v>8.6740546057206842</v>
      </c>
      <c r="P368" s="36">
        <f>Rådatakommune[[#This Row],[B16-O]]/Rådatakommune[[#This Row],[Totalareal2016-O]]</f>
        <v>7.9397491753540388</v>
      </c>
      <c r="Q368" s="38">
        <f>Rådatakommune[[#This Row],[B16-O]]/Rådatakommune[[#This Row],[B06-O]]-1</f>
        <v>5.5491571563186515E-3</v>
      </c>
      <c r="R368" s="24">
        <f>Rådatakommune[[#This Row],[Kvinner20-39-O]]/Rådatakommune[[#This Row],[B16-O]]</f>
        <v>0.10714285714285714</v>
      </c>
      <c r="S368" s="24">
        <f>Rådatakommune[[#This Row],[Eldre67+-O]]/Rådatakommune[[#This Row],[B16-O]]</f>
        <v>0.18231986672219908</v>
      </c>
      <c r="T368" s="24">
        <f>Rådatakommune[[#This Row],[S15-O]]/Rådatakommune[[#This Row],[S05-O]]-1</f>
        <v>0.12282205084261633</v>
      </c>
      <c r="U368" s="24">
        <f>Rådatakommune[[#This Row],[Y15-O]]/Rådatakommune[[#This Row],[Folk20-64-O]]</f>
        <v>0.84878405558603032</v>
      </c>
    </row>
    <row r="369" spans="1:21" x14ac:dyDescent="0.3">
      <c r="A369" s="2" t="s">
        <v>367</v>
      </c>
      <c r="B369" s="37">
        <v>2119</v>
      </c>
      <c r="C369" s="37">
        <v>1963</v>
      </c>
      <c r="D369" s="37">
        <v>901</v>
      </c>
      <c r="E369" s="40">
        <v>438</v>
      </c>
      <c r="F369" s="41">
        <v>181</v>
      </c>
      <c r="G369">
        <v>1038</v>
      </c>
      <c r="H369" s="46">
        <v>847</v>
      </c>
      <c r="I369" s="37">
        <v>864</v>
      </c>
      <c r="J369" s="42">
        <v>1472.75</v>
      </c>
      <c r="K369" s="5">
        <v>1637.78</v>
      </c>
      <c r="L369" s="37">
        <v>355600</v>
      </c>
      <c r="M369" s="43">
        <v>244.36666666669998</v>
      </c>
      <c r="N369">
        <v>6</v>
      </c>
      <c r="O369" s="36">
        <f>Rådatakommune[[#This Row],[B16-O]]/Rådatakommune[[#This Row],[Landareal2016-O]]</f>
        <v>1.3328806654218299</v>
      </c>
      <c r="P369" s="36">
        <f>Rådatakommune[[#This Row],[B16-O]]/Rådatakommune[[#This Row],[Totalareal2016-O]]</f>
        <v>1.1985736790045061</v>
      </c>
      <c r="Q369" s="38">
        <f>Rådatakommune[[#This Row],[B16-O]]/Rådatakommune[[#This Row],[B06-O]]-1</f>
        <v>-7.361963190184051E-2</v>
      </c>
      <c r="R369" s="24">
        <f>Rådatakommune[[#This Row],[Kvinner20-39-O]]/Rådatakommune[[#This Row],[B16-O]]</f>
        <v>9.2205807437595516E-2</v>
      </c>
      <c r="S369" s="24">
        <f>Rådatakommune[[#This Row],[Eldre67+-O]]/Rådatakommune[[#This Row],[B16-O]]</f>
        <v>0.22312786551197147</v>
      </c>
      <c r="T369" s="24">
        <f>Rådatakommune[[#This Row],[S15-O]]/Rådatakommune[[#This Row],[S05-O]]-1</f>
        <v>2.0070838252656431E-2</v>
      </c>
      <c r="U369" s="24">
        <f>Rådatakommune[[#This Row],[Y15-O]]/Rådatakommune[[#This Row],[Folk20-64-O]]</f>
        <v>0.86801541425818884</v>
      </c>
    </row>
    <row r="370" spans="1:21" x14ac:dyDescent="0.3">
      <c r="A370" s="2" t="s">
        <v>368</v>
      </c>
      <c r="B370" s="37">
        <v>2760</v>
      </c>
      <c r="C370" s="37">
        <v>2543</v>
      </c>
      <c r="D370" s="37">
        <v>1180</v>
      </c>
      <c r="E370" s="40">
        <v>563</v>
      </c>
      <c r="F370" s="41">
        <v>237</v>
      </c>
      <c r="G370">
        <v>1371</v>
      </c>
      <c r="H370" s="46">
        <v>1020</v>
      </c>
      <c r="I370" s="37">
        <v>1034</v>
      </c>
      <c r="J370" s="42">
        <v>964.11</v>
      </c>
      <c r="K370" s="5">
        <v>1009.08</v>
      </c>
      <c r="L370" s="37">
        <v>352700</v>
      </c>
      <c r="M370" s="43">
        <v>350.7</v>
      </c>
      <c r="N370">
        <v>11</v>
      </c>
      <c r="O370" s="36">
        <f>Rådatakommune[[#This Row],[B16-O]]/Rådatakommune[[#This Row],[Landareal2016-O]]</f>
        <v>2.637665826513572</v>
      </c>
      <c r="P370" s="36">
        <f>Rådatakommune[[#This Row],[B16-O]]/Rådatakommune[[#This Row],[Totalareal2016-O]]</f>
        <v>2.5201173346018155</v>
      </c>
      <c r="Q370" s="38">
        <f>Rådatakommune[[#This Row],[B16-O]]/Rådatakommune[[#This Row],[B06-O]]-1</f>
        <v>-7.8623188405797073E-2</v>
      </c>
      <c r="R370" s="24">
        <f>Rådatakommune[[#This Row],[Kvinner20-39-O]]/Rådatakommune[[#This Row],[B16-O]]</f>
        <v>9.3197011403853711E-2</v>
      </c>
      <c r="S370" s="24">
        <f>Rådatakommune[[#This Row],[Eldre67+-O]]/Rådatakommune[[#This Row],[B16-O]]</f>
        <v>0.22139205662603226</v>
      </c>
      <c r="T370" s="24">
        <f>Rådatakommune[[#This Row],[S15-O]]/Rådatakommune[[#This Row],[S05-O]]-1</f>
        <v>1.3725490196078383E-2</v>
      </c>
      <c r="U370" s="24">
        <f>Rådatakommune[[#This Row],[Y15-O]]/Rådatakommune[[#This Row],[Folk20-64-O]]</f>
        <v>0.8606856309263311</v>
      </c>
    </row>
    <row r="371" spans="1:21" x14ac:dyDescent="0.3">
      <c r="A371" s="2" t="s">
        <v>369</v>
      </c>
      <c r="B371" s="37">
        <v>1821</v>
      </c>
      <c r="C371" s="37">
        <v>1824</v>
      </c>
      <c r="D371" s="37">
        <v>853</v>
      </c>
      <c r="E371" s="40">
        <v>380</v>
      </c>
      <c r="F371" s="41">
        <v>185</v>
      </c>
      <c r="G371">
        <v>1006</v>
      </c>
      <c r="H371" s="46">
        <v>749</v>
      </c>
      <c r="I371" s="37">
        <v>835</v>
      </c>
      <c r="J371" s="42">
        <v>924.07</v>
      </c>
      <c r="K371" s="5">
        <v>1033.56</v>
      </c>
      <c r="L371" s="37">
        <v>356500</v>
      </c>
      <c r="M371" s="43">
        <v>352.71666666700003</v>
      </c>
      <c r="N371">
        <v>11</v>
      </c>
      <c r="O371" s="36">
        <f>Rådatakommune[[#This Row],[B16-O]]/Rådatakommune[[#This Row],[Landareal2016-O]]</f>
        <v>1.9738764379321911</v>
      </c>
      <c r="P371" s="36">
        <f>Rådatakommune[[#This Row],[B16-O]]/Rådatakommune[[#This Row],[Totalareal2016-O]]</f>
        <v>1.7647741785672821</v>
      </c>
      <c r="Q371" s="38">
        <f>Rådatakommune[[#This Row],[B16-O]]/Rådatakommune[[#This Row],[B06-O]]-1</f>
        <v>1.6474464579900872E-3</v>
      </c>
      <c r="R371" s="24">
        <f>Rådatakommune[[#This Row],[Kvinner20-39-O]]/Rådatakommune[[#This Row],[B16-O]]</f>
        <v>0.10142543859649122</v>
      </c>
      <c r="S371" s="24">
        <f>Rådatakommune[[#This Row],[Eldre67+-O]]/Rådatakommune[[#This Row],[B16-O]]</f>
        <v>0.20833333333333334</v>
      </c>
      <c r="T371" s="24">
        <f>Rådatakommune[[#This Row],[S15-O]]/Rådatakommune[[#This Row],[S05-O]]-1</f>
        <v>0.11481975967957281</v>
      </c>
      <c r="U371" s="24">
        <f>Rådatakommune[[#This Row],[Y15-O]]/Rådatakommune[[#This Row],[Folk20-64-O]]</f>
        <v>0.84791252485089463</v>
      </c>
    </row>
    <row r="372" spans="1:21" x14ac:dyDescent="0.3">
      <c r="A372" s="2" t="s">
        <v>370</v>
      </c>
      <c r="B372" s="37">
        <v>2118</v>
      </c>
      <c r="C372" s="37">
        <v>1974</v>
      </c>
      <c r="D372" s="37">
        <v>867</v>
      </c>
      <c r="E372" s="40">
        <v>407</v>
      </c>
      <c r="F372" s="41">
        <v>185</v>
      </c>
      <c r="G372">
        <v>1107</v>
      </c>
      <c r="H372" s="46">
        <v>819</v>
      </c>
      <c r="I372" s="37">
        <v>793</v>
      </c>
      <c r="J372" s="42">
        <v>1358.49</v>
      </c>
      <c r="K372" s="5">
        <v>1463.73</v>
      </c>
      <c r="L372" s="37">
        <v>344700</v>
      </c>
      <c r="M372" s="43">
        <v>328.48333333329998</v>
      </c>
      <c r="N372">
        <v>11</v>
      </c>
      <c r="O372" s="36">
        <f>Rådatakommune[[#This Row],[B16-O]]/Rådatakommune[[#This Row],[Landareal2016-O]]</f>
        <v>1.4530839387849745</v>
      </c>
      <c r="P372" s="36">
        <f>Rådatakommune[[#This Row],[B16-O]]/Rådatakommune[[#This Row],[Totalareal2016-O]]</f>
        <v>1.3486093746797565</v>
      </c>
      <c r="Q372" s="38">
        <f>Rådatakommune[[#This Row],[B16-O]]/Rådatakommune[[#This Row],[B06-O]]-1</f>
        <v>-6.7988668555240772E-2</v>
      </c>
      <c r="R372" s="24">
        <f>Rådatakommune[[#This Row],[Kvinner20-39-O]]/Rådatakommune[[#This Row],[B16-O]]</f>
        <v>9.3718338399189458E-2</v>
      </c>
      <c r="S372" s="24">
        <f>Rådatakommune[[#This Row],[Eldre67+-O]]/Rådatakommune[[#This Row],[B16-O]]</f>
        <v>0.20618034447821681</v>
      </c>
      <c r="T372" s="24">
        <f>Rådatakommune[[#This Row],[S15-O]]/Rådatakommune[[#This Row],[S05-O]]-1</f>
        <v>-3.1746031746031744E-2</v>
      </c>
      <c r="U372" s="24">
        <f>Rådatakommune[[#This Row],[Y15-O]]/Rådatakommune[[#This Row],[Folk20-64-O]]</f>
        <v>0.78319783197831983</v>
      </c>
    </row>
    <row r="373" spans="1:21" x14ac:dyDescent="0.3">
      <c r="A373" s="2" t="s">
        <v>371</v>
      </c>
      <c r="B373" s="37">
        <v>2314</v>
      </c>
      <c r="C373" s="37">
        <v>2144</v>
      </c>
      <c r="D373" s="37">
        <v>956</v>
      </c>
      <c r="E373" s="40">
        <v>495</v>
      </c>
      <c r="F373" s="41">
        <v>176</v>
      </c>
      <c r="G373">
        <v>1150</v>
      </c>
      <c r="H373" s="46">
        <v>952</v>
      </c>
      <c r="I373" s="37">
        <v>916</v>
      </c>
      <c r="J373" s="42">
        <v>507.87</v>
      </c>
      <c r="K373" s="5">
        <v>527.49</v>
      </c>
      <c r="L373" s="37">
        <v>351900</v>
      </c>
      <c r="M373" s="43">
        <v>257.01666666669996</v>
      </c>
      <c r="N373">
        <v>11</v>
      </c>
      <c r="O373" s="36">
        <f>Rådatakommune[[#This Row],[B16-O]]/Rådatakommune[[#This Row],[Landareal2016-O]]</f>
        <v>4.2215527595644557</v>
      </c>
      <c r="P373" s="36">
        <f>Rådatakommune[[#This Row],[B16-O]]/Rådatakommune[[#This Row],[Totalareal2016-O]]</f>
        <v>4.0645320290432041</v>
      </c>
      <c r="Q373" s="38">
        <f>Rådatakommune[[#This Row],[B16-O]]/Rådatakommune[[#This Row],[B06-O]]-1</f>
        <v>-7.3465859982713932E-2</v>
      </c>
      <c r="R373" s="24">
        <f>Rådatakommune[[#This Row],[Kvinner20-39-O]]/Rådatakommune[[#This Row],[B16-O]]</f>
        <v>8.2089552238805971E-2</v>
      </c>
      <c r="S373" s="24">
        <f>Rådatakommune[[#This Row],[Eldre67+-O]]/Rådatakommune[[#This Row],[B16-O]]</f>
        <v>0.23087686567164178</v>
      </c>
      <c r="T373" s="24">
        <f>Rådatakommune[[#This Row],[S15-O]]/Rådatakommune[[#This Row],[S05-O]]-1</f>
        <v>-3.7815126050420145E-2</v>
      </c>
      <c r="U373" s="24">
        <f>Rådatakommune[[#This Row],[Y15-O]]/Rådatakommune[[#This Row],[Folk20-64-O]]</f>
        <v>0.83130434782608698</v>
      </c>
    </row>
    <row r="374" spans="1:21" x14ac:dyDescent="0.3">
      <c r="A374" s="2" t="s">
        <v>372</v>
      </c>
      <c r="B374" s="37">
        <v>1396</v>
      </c>
      <c r="C374" s="37">
        <v>1283</v>
      </c>
      <c r="D374" s="37">
        <v>580</v>
      </c>
      <c r="E374" s="40">
        <v>315</v>
      </c>
      <c r="F374" s="41">
        <v>108</v>
      </c>
      <c r="G374">
        <v>674</v>
      </c>
      <c r="H374" s="46">
        <v>466</v>
      </c>
      <c r="I374" s="37">
        <v>489</v>
      </c>
      <c r="J374" s="42">
        <v>310.35000000000002</v>
      </c>
      <c r="K374" s="5">
        <v>319.26000000000005</v>
      </c>
      <c r="L374" s="37">
        <v>359200</v>
      </c>
      <c r="M374" s="43">
        <v>223.5833333333</v>
      </c>
      <c r="N374">
        <v>5</v>
      </c>
      <c r="O374" s="36">
        <f>Rådatakommune[[#This Row],[B16-O]]/Rådatakommune[[#This Row],[Landareal2016-O]]</f>
        <v>4.1340422104076042</v>
      </c>
      <c r="P374" s="36">
        <f>Rådatakommune[[#This Row],[B16-O]]/Rådatakommune[[#This Row],[Totalareal2016-O]]</f>
        <v>4.0186681701434566</v>
      </c>
      <c r="Q374" s="38">
        <f>Rådatakommune[[#This Row],[B16-O]]/Rådatakommune[[#This Row],[B06-O]]-1</f>
        <v>-8.0945558739255019E-2</v>
      </c>
      <c r="R374" s="24">
        <f>Rådatakommune[[#This Row],[Kvinner20-39-O]]/Rådatakommune[[#This Row],[B16-O]]</f>
        <v>8.4177708495713169E-2</v>
      </c>
      <c r="S374" s="24">
        <f>Rådatakommune[[#This Row],[Eldre67+-O]]/Rådatakommune[[#This Row],[B16-O]]</f>
        <v>0.24551831644583008</v>
      </c>
      <c r="T374" s="24">
        <f>Rådatakommune[[#This Row],[S15-O]]/Rådatakommune[[#This Row],[S05-O]]-1</f>
        <v>4.9356223175965663E-2</v>
      </c>
      <c r="U374" s="24">
        <f>Rådatakommune[[#This Row],[Y15-O]]/Rådatakommune[[#This Row],[Folk20-64-O]]</f>
        <v>0.86053412462908008</v>
      </c>
    </row>
    <row r="375" spans="1:21" x14ac:dyDescent="0.3">
      <c r="A375" s="2" t="s">
        <v>373</v>
      </c>
      <c r="B375" s="37">
        <v>1365</v>
      </c>
      <c r="C375" s="37">
        <v>1400</v>
      </c>
      <c r="D375" s="37">
        <v>569</v>
      </c>
      <c r="E375" s="40">
        <v>322</v>
      </c>
      <c r="F375" s="41">
        <v>128</v>
      </c>
      <c r="G375">
        <v>728</v>
      </c>
      <c r="H375" s="46">
        <v>600</v>
      </c>
      <c r="I375" s="37">
        <v>606</v>
      </c>
      <c r="J375" s="42">
        <v>241.66</v>
      </c>
      <c r="K375" s="5">
        <v>252.78</v>
      </c>
      <c r="L375" s="37">
        <v>344000</v>
      </c>
      <c r="M375" s="43">
        <v>210.9</v>
      </c>
      <c r="N375">
        <v>5</v>
      </c>
      <c r="O375" s="36">
        <f>Rådatakommune[[#This Row],[B16-O]]/Rådatakommune[[#This Row],[Landareal2016-O]]</f>
        <v>5.7932632624348255</v>
      </c>
      <c r="P375" s="36">
        <f>Rådatakommune[[#This Row],[B16-O]]/Rådatakommune[[#This Row],[Totalareal2016-O]]</f>
        <v>5.53841284911781</v>
      </c>
      <c r="Q375" s="38">
        <f>Rådatakommune[[#This Row],[B16-O]]/Rådatakommune[[#This Row],[B06-O]]-1</f>
        <v>2.564102564102555E-2</v>
      </c>
      <c r="R375" s="24">
        <f>Rådatakommune[[#This Row],[Kvinner20-39-O]]/Rådatakommune[[#This Row],[B16-O]]</f>
        <v>9.1428571428571428E-2</v>
      </c>
      <c r="S375" s="24">
        <f>Rådatakommune[[#This Row],[Eldre67+-O]]/Rådatakommune[[#This Row],[B16-O]]</f>
        <v>0.23</v>
      </c>
      <c r="T375" s="24">
        <f>Rådatakommune[[#This Row],[S15-O]]/Rådatakommune[[#This Row],[S05-O]]-1</f>
        <v>1.0000000000000009E-2</v>
      </c>
      <c r="U375" s="24">
        <f>Rådatakommune[[#This Row],[Y15-O]]/Rådatakommune[[#This Row],[Folk20-64-O]]</f>
        <v>0.78159340659340659</v>
      </c>
    </row>
    <row r="376" spans="1:21" x14ac:dyDescent="0.3">
      <c r="A376" s="2" t="s">
        <v>374</v>
      </c>
      <c r="B376" s="37">
        <v>2701</v>
      </c>
      <c r="C376" s="37">
        <v>2556</v>
      </c>
      <c r="D376" s="37">
        <v>1045</v>
      </c>
      <c r="E376" s="40">
        <v>527</v>
      </c>
      <c r="F376" s="41">
        <v>243</v>
      </c>
      <c r="G376">
        <v>1382</v>
      </c>
      <c r="H376" s="46">
        <v>829</v>
      </c>
      <c r="I376" s="37">
        <v>723</v>
      </c>
      <c r="J376" s="42">
        <v>846.69</v>
      </c>
      <c r="K376" s="5">
        <v>932.21</v>
      </c>
      <c r="L376" s="37">
        <v>346600</v>
      </c>
      <c r="M376" s="43">
        <v>286.18333333329997</v>
      </c>
      <c r="N376">
        <v>5</v>
      </c>
      <c r="O376" s="36">
        <f>Rådatakommune[[#This Row],[B16-O]]/Rådatakommune[[#This Row],[Landareal2016-O]]</f>
        <v>3.0188144421216738</v>
      </c>
      <c r="P376" s="36">
        <f>Rådatakommune[[#This Row],[B16-O]]/Rådatakommune[[#This Row],[Totalareal2016-O]]</f>
        <v>2.7418714667295996</v>
      </c>
      <c r="Q376" s="38">
        <f>Rådatakommune[[#This Row],[B16-O]]/Rådatakommune[[#This Row],[B06-O]]-1</f>
        <v>-5.3683820807108429E-2</v>
      </c>
      <c r="R376" s="24">
        <f>Rådatakommune[[#This Row],[Kvinner20-39-O]]/Rådatakommune[[#This Row],[B16-O]]</f>
        <v>9.5070422535211266E-2</v>
      </c>
      <c r="S376" s="24">
        <f>Rådatakommune[[#This Row],[Eldre67+-O]]/Rådatakommune[[#This Row],[B16-O]]</f>
        <v>0.20618153364632238</v>
      </c>
      <c r="T376" s="24">
        <f>Rådatakommune[[#This Row],[S15-O]]/Rådatakommune[[#This Row],[S05-O]]-1</f>
        <v>-0.1278648974668275</v>
      </c>
      <c r="U376" s="24">
        <f>Rådatakommune[[#This Row],[Y15-O]]/Rådatakommune[[#This Row],[Folk20-64-O]]</f>
        <v>0.75615050651230098</v>
      </c>
    </row>
    <row r="377" spans="1:21" x14ac:dyDescent="0.3">
      <c r="A377" s="2" t="s">
        <v>375</v>
      </c>
      <c r="B377" s="37">
        <v>598</v>
      </c>
      <c r="C377" s="37">
        <v>551</v>
      </c>
      <c r="D377" s="37">
        <v>282</v>
      </c>
      <c r="E377" s="40">
        <v>98</v>
      </c>
      <c r="F377" s="41">
        <v>58</v>
      </c>
      <c r="G377">
        <v>328</v>
      </c>
      <c r="H377" s="46">
        <v>309</v>
      </c>
      <c r="I377" s="37">
        <v>257</v>
      </c>
      <c r="J377" s="42">
        <v>9.81</v>
      </c>
      <c r="K377" s="5">
        <v>10.130000000000001</v>
      </c>
      <c r="L377" s="37">
        <v>374300</v>
      </c>
      <c r="M377" s="43">
        <v>237.53333333333001</v>
      </c>
      <c r="N377">
        <v>11</v>
      </c>
      <c r="O377" s="36">
        <f>Rådatakommune[[#This Row],[B16-O]]/Rådatakommune[[#This Row],[Landareal2016-O]]</f>
        <v>56.167176350662587</v>
      </c>
      <c r="P377" s="36">
        <f>Rådatakommune[[#This Row],[B16-O]]/Rådatakommune[[#This Row],[Totalareal2016-O]]</f>
        <v>54.392892398815398</v>
      </c>
      <c r="Q377" s="38">
        <f>Rådatakommune[[#This Row],[B16-O]]/Rådatakommune[[#This Row],[B06-O]]-1</f>
        <v>-7.8595317725752456E-2</v>
      </c>
      <c r="R377" s="24">
        <f>Rådatakommune[[#This Row],[Kvinner20-39-O]]/Rådatakommune[[#This Row],[B16-O]]</f>
        <v>0.10526315789473684</v>
      </c>
      <c r="S377" s="24">
        <f>Rådatakommune[[#This Row],[Eldre67+-O]]/Rådatakommune[[#This Row],[B16-O]]</f>
        <v>0.17785843920145192</v>
      </c>
      <c r="T377" s="24">
        <f>Rådatakommune[[#This Row],[S15-O]]/Rådatakommune[[#This Row],[S05-O]]-1</f>
        <v>-0.16828478964401294</v>
      </c>
      <c r="U377" s="24">
        <f>Rådatakommune[[#This Row],[Y15-O]]/Rådatakommune[[#This Row],[Folk20-64-O]]</f>
        <v>0.8597560975609756</v>
      </c>
    </row>
    <row r="378" spans="1:21" x14ac:dyDescent="0.3">
      <c r="A378" s="2" t="s">
        <v>376</v>
      </c>
      <c r="B378" s="37">
        <v>748</v>
      </c>
      <c r="C378" s="37">
        <v>765</v>
      </c>
      <c r="D378" s="37">
        <v>361</v>
      </c>
      <c r="E378" s="40">
        <v>141</v>
      </c>
      <c r="F378" s="41">
        <v>76</v>
      </c>
      <c r="G378">
        <v>427</v>
      </c>
      <c r="H378" s="46">
        <v>367</v>
      </c>
      <c r="I378" s="37">
        <v>353</v>
      </c>
      <c r="J378" s="42">
        <v>18.600000000000001</v>
      </c>
      <c r="K378" s="5">
        <v>18.64</v>
      </c>
      <c r="L378" s="37">
        <v>367700</v>
      </c>
      <c r="M378" s="43">
        <v>240.61666666667</v>
      </c>
      <c r="N378">
        <v>11</v>
      </c>
      <c r="O378" s="36">
        <f>Rådatakommune[[#This Row],[B16-O]]/Rådatakommune[[#This Row],[Landareal2016-O]]</f>
        <v>41.129032258064512</v>
      </c>
      <c r="P378" s="36">
        <f>Rådatakommune[[#This Row],[B16-O]]/Rådatakommune[[#This Row],[Totalareal2016-O]]</f>
        <v>41.040772532188839</v>
      </c>
      <c r="Q378" s="38">
        <f>Rådatakommune[[#This Row],[B16-O]]/Rådatakommune[[#This Row],[B06-O]]-1</f>
        <v>2.2727272727272707E-2</v>
      </c>
      <c r="R378" s="24">
        <f>Rådatakommune[[#This Row],[Kvinner20-39-O]]/Rådatakommune[[#This Row],[B16-O]]</f>
        <v>9.9346405228758164E-2</v>
      </c>
      <c r="S378" s="24">
        <f>Rådatakommune[[#This Row],[Eldre67+-O]]/Rådatakommune[[#This Row],[B16-O]]</f>
        <v>0.18431372549019609</v>
      </c>
      <c r="T378" s="24">
        <f>Rådatakommune[[#This Row],[S15-O]]/Rådatakommune[[#This Row],[S05-O]]-1</f>
        <v>-3.8147138964577665E-2</v>
      </c>
      <c r="U378" s="24">
        <f>Rådatakommune[[#This Row],[Y15-O]]/Rådatakommune[[#This Row],[Folk20-64-O]]</f>
        <v>0.84543325526932089</v>
      </c>
    </row>
    <row r="379" spans="1:21" x14ac:dyDescent="0.3">
      <c r="A379" s="2" t="s">
        <v>377</v>
      </c>
      <c r="B379" s="37">
        <v>1454</v>
      </c>
      <c r="C379" s="37">
        <v>1336</v>
      </c>
      <c r="D379" s="37">
        <v>634</v>
      </c>
      <c r="E379" s="40">
        <v>282</v>
      </c>
      <c r="F379" s="41">
        <v>132</v>
      </c>
      <c r="G379">
        <v>717</v>
      </c>
      <c r="H379" s="46">
        <v>586</v>
      </c>
      <c r="I379" s="37">
        <v>553</v>
      </c>
      <c r="J379" s="42">
        <v>169.07</v>
      </c>
      <c r="K379" s="5">
        <v>178.38</v>
      </c>
      <c r="L379" s="37">
        <v>357400</v>
      </c>
      <c r="M379" s="43">
        <v>261.35000000000002</v>
      </c>
      <c r="N379">
        <v>9</v>
      </c>
      <c r="O379" s="36">
        <f>Rådatakommune[[#This Row],[B16-O]]/Rådatakommune[[#This Row],[Landareal2016-O]]</f>
        <v>7.9020524043295683</v>
      </c>
      <c r="P379" s="36">
        <f>Rådatakommune[[#This Row],[B16-O]]/Rådatakommune[[#This Row],[Totalareal2016-O]]</f>
        <v>7.4896288821616777</v>
      </c>
      <c r="Q379" s="38">
        <f>Rådatakommune[[#This Row],[B16-O]]/Rådatakommune[[#This Row],[B06-O]]-1</f>
        <v>-8.1155433287482759E-2</v>
      </c>
      <c r="R379" s="24">
        <f>Rådatakommune[[#This Row],[Kvinner20-39-O]]/Rådatakommune[[#This Row],[B16-O]]</f>
        <v>9.880239520958084E-2</v>
      </c>
      <c r="S379" s="24">
        <f>Rådatakommune[[#This Row],[Eldre67+-O]]/Rådatakommune[[#This Row],[B16-O]]</f>
        <v>0.21107784431137724</v>
      </c>
      <c r="T379" s="24">
        <f>Rådatakommune[[#This Row],[S15-O]]/Rådatakommune[[#This Row],[S05-O]]-1</f>
        <v>-5.6313993174061383E-2</v>
      </c>
      <c r="U379" s="24">
        <f>Rådatakommune[[#This Row],[Y15-O]]/Rådatakommune[[#This Row],[Folk20-64-O]]</f>
        <v>0.88423988842398882</v>
      </c>
    </row>
    <row r="380" spans="1:21" x14ac:dyDescent="0.3">
      <c r="A380" s="2" t="s">
        <v>378</v>
      </c>
      <c r="B380" s="37">
        <v>10797</v>
      </c>
      <c r="C380" s="37">
        <v>11198</v>
      </c>
      <c r="D380" s="37">
        <v>5259</v>
      </c>
      <c r="E380" s="40">
        <v>1800</v>
      </c>
      <c r="F380" s="41">
        <v>1279</v>
      </c>
      <c r="G380">
        <v>6302</v>
      </c>
      <c r="H380" s="46">
        <v>4569</v>
      </c>
      <c r="I380" s="37">
        <v>5149</v>
      </c>
      <c r="J380" s="42">
        <v>406.93</v>
      </c>
      <c r="K380" s="5">
        <v>424.63</v>
      </c>
      <c r="L380" s="37">
        <v>367900</v>
      </c>
      <c r="M380" s="43">
        <v>236.46666666666999</v>
      </c>
      <c r="N380">
        <v>9</v>
      </c>
      <c r="O380" s="36">
        <f>Rådatakommune[[#This Row],[B16-O]]/Rådatakommune[[#This Row],[Landareal2016-O]]</f>
        <v>27.518246381441525</v>
      </c>
      <c r="P380" s="36">
        <f>Rådatakommune[[#This Row],[B16-O]]/Rådatakommune[[#This Row],[Totalareal2016-O]]</f>
        <v>26.371193745142829</v>
      </c>
      <c r="Q380" s="38">
        <f>Rådatakommune[[#This Row],[B16-O]]/Rådatakommune[[#This Row],[B06-O]]-1</f>
        <v>3.7139946281374403E-2</v>
      </c>
      <c r="R380" s="24">
        <f>Rådatakommune[[#This Row],[Kvinner20-39-O]]/Rådatakommune[[#This Row],[B16-O]]</f>
        <v>0.11421682443293445</v>
      </c>
      <c r="S380" s="24">
        <f>Rådatakommune[[#This Row],[Eldre67+-O]]/Rådatakommune[[#This Row],[B16-O]]</f>
        <v>0.16074298981961063</v>
      </c>
      <c r="T380" s="24">
        <f>Rådatakommune[[#This Row],[S15-O]]/Rådatakommune[[#This Row],[S05-O]]-1</f>
        <v>0.12694243817027795</v>
      </c>
      <c r="U380" s="24">
        <f>Rådatakommune[[#This Row],[Y15-O]]/Rådatakommune[[#This Row],[Folk20-64-O]]</f>
        <v>0.83449698508410031</v>
      </c>
    </row>
    <row r="381" spans="1:21" x14ac:dyDescent="0.3">
      <c r="A381" s="2" t="s">
        <v>379</v>
      </c>
      <c r="B381" s="37">
        <v>9021</v>
      </c>
      <c r="C381" s="37">
        <v>9350</v>
      </c>
      <c r="D381" s="37">
        <v>4629</v>
      </c>
      <c r="E381" s="40">
        <v>1520</v>
      </c>
      <c r="F381" s="41">
        <v>1078</v>
      </c>
      <c r="G381">
        <v>5380</v>
      </c>
      <c r="H381" s="46">
        <v>4102</v>
      </c>
      <c r="I381" s="37">
        <v>4461</v>
      </c>
      <c r="J381" s="42">
        <v>460.53</v>
      </c>
      <c r="K381" s="5">
        <v>479.15</v>
      </c>
      <c r="L381" s="37">
        <v>370300</v>
      </c>
      <c r="M381" s="43">
        <v>240.08333333333002</v>
      </c>
      <c r="N381">
        <v>7</v>
      </c>
      <c r="O381" s="36">
        <f>Rådatakommune[[#This Row],[B16-O]]/Rådatakommune[[#This Row],[Landareal2016-O]]</f>
        <v>20.302694721299375</v>
      </c>
      <c r="P381" s="36">
        <f>Rådatakommune[[#This Row],[B16-O]]/Rådatakommune[[#This Row],[Totalareal2016-O]]</f>
        <v>19.51372221642492</v>
      </c>
      <c r="Q381" s="38">
        <f>Rådatakommune[[#This Row],[B16-O]]/Rådatakommune[[#This Row],[B06-O]]-1</f>
        <v>3.6470457820640734E-2</v>
      </c>
      <c r="R381" s="24">
        <f>Rådatakommune[[#This Row],[Kvinner20-39-O]]/Rådatakommune[[#This Row],[B16-O]]</f>
        <v>0.11529411764705882</v>
      </c>
      <c r="S381" s="24">
        <f>Rådatakommune[[#This Row],[Eldre67+-O]]/Rådatakommune[[#This Row],[B16-O]]</f>
        <v>0.1625668449197861</v>
      </c>
      <c r="T381" s="24">
        <f>Rådatakommune[[#This Row],[S15-O]]/Rådatakommune[[#This Row],[S05-O]]-1</f>
        <v>8.7518283764017601E-2</v>
      </c>
      <c r="U381" s="24">
        <f>Rådatakommune[[#This Row],[Y15-O]]/Rådatakommune[[#This Row],[Folk20-64-O]]</f>
        <v>0.86040892193308549</v>
      </c>
    </row>
    <row r="382" spans="1:21" x14ac:dyDescent="0.3">
      <c r="A382" s="2" t="s">
        <v>380</v>
      </c>
      <c r="B382" s="37">
        <v>8001</v>
      </c>
      <c r="C382" s="37">
        <v>8082</v>
      </c>
      <c r="D382" s="37">
        <v>3704</v>
      </c>
      <c r="E382" s="40">
        <v>1512</v>
      </c>
      <c r="F382" s="41">
        <v>877</v>
      </c>
      <c r="G382">
        <v>4495</v>
      </c>
      <c r="H382" s="46">
        <v>3485</v>
      </c>
      <c r="I382" s="37">
        <v>3491</v>
      </c>
      <c r="J382" s="42">
        <v>551.13</v>
      </c>
      <c r="K382" s="5">
        <v>566.55999999999995</v>
      </c>
      <c r="L382" s="37">
        <v>371700</v>
      </c>
      <c r="M382" s="43">
        <v>249.01666666667001</v>
      </c>
      <c r="N382">
        <v>8</v>
      </c>
      <c r="O382" s="36">
        <f>Rådatakommune[[#This Row],[B16-O]]/Rådatakommune[[#This Row],[Landareal2016-O]]</f>
        <v>14.66441674378096</v>
      </c>
      <c r="P382" s="36">
        <f>Rådatakommune[[#This Row],[B16-O]]/Rådatakommune[[#This Row],[Totalareal2016-O]]</f>
        <v>14.265038124823498</v>
      </c>
      <c r="Q382" s="38">
        <f>Rådatakommune[[#This Row],[B16-O]]/Rådatakommune[[#This Row],[B06-O]]-1</f>
        <v>1.0123734533183271E-2</v>
      </c>
      <c r="R382" s="24">
        <f>Rådatakommune[[#This Row],[Kvinner20-39-O]]/Rådatakommune[[#This Row],[B16-O]]</f>
        <v>0.10851274437020539</v>
      </c>
      <c r="S382" s="24">
        <f>Rådatakommune[[#This Row],[Eldre67+-O]]/Rådatakommune[[#This Row],[B16-O]]</f>
        <v>0.18708240534521159</v>
      </c>
      <c r="T382" s="24">
        <f>Rådatakommune[[#This Row],[S15-O]]/Rådatakommune[[#This Row],[S05-O]]-1</f>
        <v>1.7216642754662725E-3</v>
      </c>
      <c r="U382" s="24">
        <f>Rådatakommune[[#This Row],[Y15-O]]/Rådatakommune[[#This Row],[Folk20-64-O]]</f>
        <v>0.82402669632925474</v>
      </c>
    </row>
    <row r="383" spans="1:21" x14ac:dyDescent="0.3">
      <c r="A383" s="2" t="s">
        <v>381</v>
      </c>
      <c r="B383" s="37">
        <v>2946</v>
      </c>
      <c r="C383" s="37">
        <v>2632</v>
      </c>
      <c r="D383" s="37">
        <v>1056</v>
      </c>
      <c r="E383" s="40">
        <v>674</v>
      </c>
      <c r="F383" s="41">
        <v>209</v>
      </c>
      <c r="G383">
        <v>1384</v>
      </c>
      <c r="H383" s="46">
        <v>996</v>
      </c>
      <c r="I383" s="37">
        <v>917</v>
      </c>
      <c r="J383" s="42">
        <v>234.85</v>
      </c>
      <c r="K383" s="5">
        <v>246.68</v>
      </c>
      <c r="L383" s="37">
        <v>329800</v>
      </c>
      <c r="M383" s="43">
        <v>306.21666666670001</v>
      </c>
      <c r="N383">
        <v>8</v>
      </c>
      <c r="O383" s="36">
        <f>Rådatakommune[[#This Row],[B16-O]]/Rådatakommune[[#This Row],[Landareal2016-O]]</f>
        <v>11.207153502235469</v>
      </c>
      <c r="P383" s="36">
        <f>Rådatakommune[[#This Row],[B16-O]]/Rådatakommune[[#This Row],[Totalareal2016-O]]</f>
        <v>10.669693530079455</v>
      </c>
      <c r="Q383" s="38">
        <f>Rådatakommune[[#This Row],[B16-O]]/Rådatakommune[[#This Row],[B06-O]]-1</f>
        <v>-0.1065852002715546</v>
      </c>
      <c r="R383" s="24">
        <f>Rådatakommune[[#This Row],[Kvinner20-39-O]]/Rådatakommune[[#This Row],[B16-O]]</f>
        <v>7.9407294832826741E-2</v>
      </c>
      <c r="S383" s="24">
        <f>Rådatakommune[[#This Row],[Eldre67+-O]]/Rådatakommune[[#This Row],[B16-O]]</f>
        <v>0.2560790273556231</v>
      </c>
      <c r="T383" s="24">
        <f>Rådatakommune[[#This Row],[S15-O]]/Rådatakommune[[#This Row],[S05-O]]-1</f>
        <v>-7.9317269076305208E-2</v>
      </c>
      <c r="U383" s="24">
        <f>Rådatakommune[[#This Row],[Y15-O]]/Rådatakommune[[#This Row],[Folk20-64-O]]</f>
        <v>0.76300578034682076</v>
      </c>
    </row>
    <row r="384" spans="1:21" x14ac:dyDescent="0.3">
      <c r="A384" s="2" t="s">
        <v>382</v>
      </c>
      <c r="B384" s="37">
        <v>4567</v>
      </c>
      <c r="C384" s="37">
        <v>4529</v>
      </c>
      <c r="D384" s="37">
        <v>2078</v>
      </c>
      <c r="E384" s="40">
        <v>766</v>
      </c>
      <c r="F384" s="41">
        <v>479</v>
      </c>
      <c r="G384">
        <v>2610</v>
      </c>
      <c r="H384" s="46">
        <v>1855</v>
      </c>
      <c r="I384" s="37">
        <v>1888</v>
      </c>
      <c r="J384" s="42">
        <v>310.63</v>
      </c>
      <c r="K384" s="5">
        <v>319.51</v>
      </c>
      <c r="L384" s="37">
        <v>367700</v>
      </c>
      <c r="M384" s="43">
        <v>294.8333333333</v>
      </c>
      <c r="N384">
        <v>8</v>
      </c>
      <c r="O384" s="36">
        <f>Rådatakommune[[#This Row],[B16-O]]/Rådatakommune[[#This Row],[Landareal2016-O]]</f>
        <v>14.580047001255513</v>
      </c>
      <c r="P384" s="36">
        <f>Rådatakommune[[#This Row],[B16-O]]/Rådatakommune[[#This Row],[Totalareal2016-O]]</f>
        <v>14.174830208757159</v>
      </c>
      <c r="Q384" s="38">
        <f>Rådatakommune[[#This Row],[B16-O]]/Rådatakommune[[#This Row],[B06-O]]-1</f>
        <v>-8.3205605430261009E-3</v>
      </c>
      <c r="R384" s="24">
        <f>Rådatakommune[[#This Row],[Kvinner20-39-O]]/Rådatakommune[[#This Row],[B16-O]]</f>
        <v>0.10576286155884301</v>
      </c>
      <c r="S384" s="24">
        <f>Rådatakommune[[#This Row],[Eldre67+-O]]/Rådatakommune[[#This Row],[B16-O]]</f>
        <v>0.1691322587767719</v>
      </c>
      <c r="T384" s="24">
        <f>Rådatakommune[[#This Row],[S15-O]]/Rådatakommune[[#This Row],[S05-O]]-1</f>
        <v>1.7789757412398854E-2</v>
      </c>
      <c r="U384" s="24">
        <f>Rådatakommune[[#This Row],[Y15-O]]/Rådatakommune[[#This Row],[Folk20-64-O]]</f>
        <v>0.79616858237547894</v>
      </c>
    </row>
    <row r="385" spans="1:21" x14ac:dyDescent="0.3">
      <c r="A385" s="2" t="s">
        <v>383</v>
      </c>
      <c r="B385" s="37">
        <v>9639</v>
      </c>
      <c r="C385" s="37">
        <v>10214</v>
      </c>
      <c r="D385" s="37">
        <v>5013</v>
      </c>
      <c r="E385" s="40">
        <v>1493</v>
      </c>
      <c r="F385" s="41">
        <v>1178</v>
      </c>
      <c r="G385">
        <v>5867</v>
      </c>
      <c r="H385" s="46">
        <v>5028</v>
      </c>
      <c r="I385" s="37">
        <v>5047</v>
      </c>
      <c r="J385" s="42">
        <v>697.31</v>
      </c>
      <c r="K385" s="5">
        <v>721.91</v>
      </c>
      <c r="L385" s="37">
        <v>381300</v>
      </c>
      <c r="M385" s="43">
        <v>261.11666666669998</v>
      </c>
      <c r="N385">
        <v>8</v>
      </c>
      <c r="O385" s="36">
        <f>Rådatakommune[[#This Row],[B16-O]]/Rådatakommune[[#This Row],[Landareal2016-O]]</f>
        <v>14.647717657856621</v>
      </c>
      <c r="P385" s="36">
        <f>Rådatakommune[[#This Row],[B16-O]]/Rådatakommune[[#This Row],[Totalareal2016-O]]</f>
        <v>14.148578077599701</v>
      </c>
      <c r="Q385" s="38">
        <f>Rådatakommune[[#This Row],[B16-O]]/Rådatakommune[[#This Row],[B06-O]]-1</f>
        <v>5.9653491026040006E-2</v>
      </c>
      <c r="R385" s="24">
        <f>Rådatakommune[[#This Row],[Kvinner20-39-O]]/Rådatakommune[[#This Row],[B16-O]]</f>
        <v>0.11533189739573135</v>
      </c>
      <c r="S385" s="24">
        <f>Rådatakommune[[#This Row],[Eldre67+-O]]/Rådatakommune[[#This Row],[B16-O]]</f>
        <v>0.1461719208928921</v>
      </c>
      <c r="T385" s="24">
        <f>Rådatakommune[[#This Row],[S15-O]]/Rådatakommune[[#This Row],[S05-O]]-1</f>
        <v>3.7788385043755479E-3</v>
      </c>
      <c r="U385" s="24">
        <f>Rådatakommune[[#This Row],[Y15-O]]/Rådatakommune[[#This Row],[Folk20-64-O]]</f>
        <v>0.85444008863132781</v>
      </c>
    </row>
    <row r="386" spans="1:21" x14ac:dyDescent="0.3">
      <c r="A386" s="2" t="s">
        <v>384</v>
      </c>
      <c r="B386" s="37">
        <v>5245</v>
      </c>
      <c r="C386" s="37">
        <v>4980</v>
      </c>
      <c r="D386" s="37">
        <v>2248</v>
      </c>
      <c r="E386" s="40">
        <v>1026</v>
      </c>
      <c r="F386" s="41">
        <v>499</v>
      </c>
      <c r="G386">
        <v>2704</v>
      </c>
      <c r="H386" s="46">
        <v>2489</v>
      </c>
      <c r="I386" s="37">
        <v>2058</v>
      </c>
      <c r="J386" s="42">
        <v>616.71</v>
      </c>
      <c r="K386" s="5">
        <v>656.12</v>
      </c>
      <c r="L386" s="37">
        <v>371700</v>
      </c>
      <c r="M386" s="43">
        <v>256.8</v>
      </c>
      <c r="N386">
        <v>9</v>
      </c>
      <c r="O386" s="36">
        <f>Rådatakommune[[#This Row],[B16-O]]/Rådatakommune[[#This Row],[Landareal2016-O]]</f>
        <v>8.0751082356374955</v>
      </c>
      <c r="P386" s="36">
        <f>Rådatakommune[[#This Row],[B16-O]]/Rådatakommune[[#This Row],[Totalareal2016-O]]</f>
        <v>7.590074986282997</v>
      </c>
      <c r="Q386" s="38">
        <f>Rådatakommune[[#This Row],[B16-O]]/Rådatakommune[[#This Row],[B06-O]]-1</f>
        <v>-5.0524308865586232E-2</v>
      </c>
      <c r="R386" s="24">
        <f>Rådatakommune[[#This Row],[Kvinner20-39-O]]/Rådatakommune[[#This Row],[B16-O]]</f>
        <v>0.10020080321285141</v>
      </c>
      <c r="S386" s="24">
        <f>Rådatakommune[[#This Row],[Eldre67+-O]]/Rådatakommune[[#This Row],[B16-O]]</f>
        <v>0.20602409638554217</v>
      </c>
      <c r="T386" s="24">
        <f>Rådatakommune[[#This Row],[S15-O]]/Rådatakommune[[#This Row],[S05-O]]-1</f>
        <v>-0.17316191241462431</v>
      </c>
      <c r="U386" s="24">
        <f>Rådatakommune[[#This Row],[Y15-O]]/Rådatakommune[[#This Row],[Folk20-64-O]]</f>
        <v>0.83136094674556216</v>
      </c>
    </row>
    <row r="387" spans="1:21" x14ac:dyDescent="0.3">
      <c r="A387" s="2" t="s">
        <v>385</v>
      </c>
      <c r="B387" s="37">
        <v>1183</v>
      </c>
      <c r="C387" s="37">
        <v>1062</v>
      </c>
      <c r="D387" s="37">
        <v>509</v>
      </c>
      <c r="E387" s="40">
        <v>243</v>
      </c>
      <c r="F387" s="41">
        <v>104</v>
      </c>
      <c r="G387">
        <v>588</v>
      </c>
      <c r="H387" s="46">
        <v>508</v>
      </c>
      <c r="I387" s="37">
        <v>474</v>
      </c>
      <c r="J387" s="42">
        <v>110.47</v>
      </c>
      <c r="K387" s="5">
        <v>118.78999999999999</v>
      </c>
      <c r="L387" s="37">
        <v>373800</v>
      </c>
      <c r="M387" s="43">
        <v>283.11666666669998</v>
      </c>
      <c r="N387">
        <v>11</v>
      </c>
      <c r="O387" s="36">
        <f>Rådatakommune[[#This Row],[B16-O]]/Rådatakommune[[#This Row],[Landareal2016-O]]</f>
        <v>9.6134697202860497</v>
      </c>
      <c r="P387" s="36">
        <f>Rådatakommune[[#This Row],[B16-O]]/Rådatakommune[[#This Row],[Totalareal2016-O]]</f>
        <v>8.9401464769761763</v>
      </c>
      <c r="Q387" s="38">
        <f>Rådatakommune[[#This Row],[B16-O]]/Rådatakommune[[#This Row],[B06-O]]-1</f>
        <v>-0.10228233305156387</v>
      </c>
      <c r="R387" s="24">
        <f>Rådatakommune[[#This Row],[Kvinner20-39-O]]/Rådatakommune[[#This Row],[B16-O]]</f>
        <v>9.7928436911487754E-2</v>
      </c>
      <c r="S387" s="24">
        <f>Rådatakommune[[#This Row],[Eldre67+-O]]/Rådatakommune[[#This Row],[B16-O]]</f>
        <v>0.2288135593220339</v>
      </c>
      <c r="T387" s="24">
        <f>Rådatakommune[[#This Row],[S15-O]]/Rådatakommune[[#This Row],[S05-O]]-1</f>
        <v>-6.6929133858267709E-2</v>
      </c>
      <c r="U387" s="24">
        <f>Rådatakommune[[#This Row],[Y15-O]]/Rådatakommune[[#This Row],[Folk20-64-O]]</f>
        <v>0.86564625850340138</v>
      </c>
    </row>
    <row r="388" spans="1:21" x14ac:dyDescent="0.3">
      <c r="A388" s="2" t="s">
        <v>386</v>
      </c>
      <c r="B388" s="37">
        <v>63596</v>
      </c>
      <c r="C388" s="37">
        <v>73480</v>
      </c>
      <c r="D388" s="37">
        <v>39889</v>
      </c>
      <c r="E388" s="40">
        <v>7784</v>
      </c>
      <c r="F388" s="41">
        <v>11015</v>
      </c>
      <c r="G388">
        <v>46683</v>
      </c>
      <c r="H388" s="46">
        <v>36595</v>
      </c>
      <c r="I388" s="37">
        <v>41936</v>
      </c>
      <c r="J388" s="42">
        <v>2473.63</v>
      </c>
      <c r="K388" s="5">
        <v>2520.7800000000002</v>
      </c>
      <c r="L388" s="37">
        <v>418700</v>
      </c>
      <c r="M388" s="43">
        <v>215.6</v>
      </c>
      <c r="N388">
        <v>4</v>
      </c>
      <c r="O388" s="36">
        <f>Rådatakommune[[#This Row],[B16-O]]/Rådatakommune[[#This Row],[Landareal2016-O]]</f>
        <v>29.705331840250967</v>
      </c>
      <c r="P388" s="36">
        <f>Rådatakommune[[#This Row],[B16-O]]/Rådatakommune[[#This Row],[Totalareal2016-O]]</f>
        <v>29.149707630177957</v>
      </c>
      <c r="Q388" s="38">
        <f>Rådatakommune[[#This Row],[B16-O]]/Rådatakommune[[#This Row],[B06-O]]-1</f>
        <v>0.15541857978489215</v>
      </c>
      <c r="R388" s="24">
        <f>Rådatakommune[[#This Row],[Kvinner20-39-O]]/Rådatakommune[[#This Row],[B16-O]]</f>
        <v>0.14990473598258031</v>
      </c>
      <c r="S388" s="24">
        <f>Rådatakommune[[#This Row],[Eldre67+-O]]/Rådatakommune[[#This Row],[B16-O]]</f>
        <v>0.10593358737071312</v>
      </c>
      <c r="T388" s="24">
        <f>Rådatakommune[[#This Row],[S15-O]]/Rådatakommune[[#This Row],[S05-O]]-1</f>
        <v>0.14594890012296768</v>
      </c>
      <c r="U388" s="24">
        <f>Rådatakommune[[#This Row],[Y15-O]]/Rådatakommune[[#This Row],[Folk20-64-O]]</f>
        <v>0.85446522288627547</v>
      </c>
    </row>
    <row r="389" spans="1:21" x14ac:dyDescent="0.3">
      <c r="A389" s="2" t="s">
        <v>387</v>
      </c>
      <c r="B389" s="37">
        <v>23765</v>
      </c>
      <c r="C389" s="37">
        <v>24695</v>
      </c>
      <c r="D389" s="37">
        <v>12161</v>
      </c>
      <c r="E389" s="40">
        <v>3910</v>
      </c>
      <c r="F389" s="41">
        <v>2996</v>
      </c>
      <c r="G389">
        <v>14380</v>
      </c>
      <c r="H389" s="46">
        <v>11640</v>
      </c>
      <c r="I389" s="37">
        <v>12160</v>
      </c>
      <c r="J389" s="42">
        <v>428.36</v>
      </c>
      <c r="K389" s="5">
        <v>445.14</v>
      </c>
      <c r="L389" s="37">
        <v>400800</v>
      </c>
      <c r="M389" s="43">
        <v>234.96666666670001</v>
      </c>
      <c r="N389">
        <v>5</v>
      </c>
      <c r="O389" s="36">
        <f>Rådatakommune[[#This Row],[B16-O]]/Rådatakommune[[#This Row],[Landareal2016-O]]</f>
        <v>57.65010738631058</v>
      </c>
      <c r="P389" s="36">
        <f>Rådatakommune[[#This Row],[B16-O]]/Rådatakommune[[#This Row],[Totalareal2016-O]]</f>
        <v>55.476928606730468</v>
      </c>
      <c r="Q389" s="38">
        <f>Rådatakommune[[#This Row],[B16-O]]/Rådatakommune[[#This Row],[B06-O]]-1</f>
        <v>3.9133179044813726E-2</v>
      </c>
      <c r="R389" s="24">
        <f>Rådatakommune[[#This Row],[Kvinner20-39-O]]/Rådatakommune[[#This Row],[B16-O]]</f>
        <v>0.12132010528447054</v>
      </c>
      <c r="S389" s="24">
        <f>Rådatakommune[[#This Row],[Eldre67+-O]]/Rådatakommune[[#This Row],[B16-O]]</f>
        <v>0.15833164608220288</v>
      </c>
      <c r="T389" s="24">
        <f>Rådatakommune[[#This Row],[S15-O]]/Rådatakommune[[#This Row],[S05-O]]-1</f>
        <v>4.4673539518900407E-2</v>
      </c>
      <c r="U389" s="24">
        <f>Rådatakommune[[#This Row],[Y15-O]]/Rådatakommune[[#This Row],[Folk20-64-O]]</f>
        <v>0.84568845618915156</v>
      </c>
    </row>
    <row r="390" spans="1:21" x14ac:dyDescent="0.3">
      <c r="A390" s="2" t="s">
        <v>388</v>
      </c>
      <c r="B390" s="37">
        <v>3067</v>
      </c>
      <c r="C390" s="37">
        <v>3029</v>
      </c>
      <c r="D390" s="37">
        <v>1408</v>
      </c>
      <c r="E390" s="40">
        <v>555</v>
      </c>
      <c r="F390" s="41">
        <v>322</v>
      </c>
      <c r="G390">
        <v>1683</v>
      </c>
      <c r="H390" s="46">
        <v>1279</v>
      </c>
      <c r="I390" s="37">
        <v>1131</v>
      </c>
      <c r="J390" s="42">
        <v>497.24</v>
      </c>
      <c r="K390" s="5">
        <v>512.58000000000004</v>
      </c>
      <c r="L390" s="37">
        <v>338900</v>
      </c>
      <c r="M390" s="43">
        <v>247.4</v>
      </c>
      <c r="N390">
        <v>5</v>
      </c>
      <c r="O390" s="36">
        <f>Rådatakommune[[#This Row],[B16-O]]/Rådatakommune[[#This Row],[Landareal2016-O]]</f>
        <v>6.0916257742739921</v>
      </c>
      <c r="P390" s="36">
        <f>Rådatakommune[[#This Row],[B16-O]]/Rådatakommune[[#This Row],[Totalareal2016-O]]</f>
        <v>5.9093214717702596</v>
      </c>
      <c r="Q390" s="38">
        <f>Rådatakommune[[#This Row],[B16-O]]/Rådatakommune[[#This Row],[B06-O]]-1</f>
        <v>-1.238995761330286E-2</v>
      </c>
      <c r="R390" s="24">
        <f>Rådatakommune[[#This Row],[Kvinner20-39-O]]/Rådatakommune[[#This Row],[B16-O]]</f>
        <v>0.10630571145592604</v>
      </c>
      <c r="S390" s="24">
        <f>Rådatakommune[[#This Row],[Eldre67+-O]]/Rådatakommune[[#This Row],[B16-O]]</f>
        <v>0.18322878837900297</v>
      </c>
      <c r="T390" s="24">
        <f>Rådatakommune[[#This Row],[S15-O]]/Rådatakommune[[#This Row],[S05-O]]-1</f>
        <v>-0.1157154026583268</v>
      </c>
      <c r="U390" s="24">
        <f>Rådatakommune[[#This Row],[Y15-O]]/Rådatakommune[[#This Row],[Folk20-64-O]]</f>
        <v>0.83660130718954251</v>
      </c>
    </row>
    <row r="391" spans="1:21" x14ac:dyDescent="0.3">
      <c r="A391" s="2" t="s">
        <v>389</v>
      </c>
      <c r="B391" s="37">
        <v>2918</v>
      </c>
      <c r="C391" s="37">
        <v>3041</v>
      </c>
      <c r="D391" s="37">
        <v>1400</v>
      </c>
      <c r="E391" s="40">
        <v>608</v>
      </c>
      <c r="F391" s="41">
        <v>307</v>
      </c>
      <c r="G391">
        <v>1688</v>
      </c>
      <c r="H391" s="46">
        <v>1018</v>
      </c>
      <c r="I391" s="37">
        <v>987</v>
      </c>
      <c r="J391" s="42">
        <v>464.77</v>
      </c>
      <c r="K391" s="5">
        <v>495</v>
      </c>
      <c r="L391" s="37">
        <v>362300</v>
      </c>
      <c r="M391" s="43">
        <v>212.48333333329998</v>
      </c>
      <c r="N391">
        <v>5</v>
      </c>
      <c r="O391" s="36">
        <f>Rådatakommune[[#This Row],[B16-O]]/Rådatakommune[[#This Row],[Landareal2016-O]]</f>
        <v>6.5430212793424705</v>
      </c>
      <c r="P391" s="36">
        <f>Rådatakommune[[#This Row],[B16-O]]/Rådatakommune[[#This Row],[Totalareal2016-O]]</f>
        <v>6.1434343434343432</v>
      </c>
      <c r="Q391" s="38">
        <f>Rådatakommune[[#This Row],[B16-O]]/Rådatakommune[[#This Row],[B06-O]]-1</f>
        <v>4.2152159013022716E-2</v>
      </c>
      <c r="R391" s="24">
        <f>Rådatakommune[[#This Row],[Kvinner20-39-O]]/Rådatakommune[[#This Row],[B16-O]]</f>
        <v>0.10095363367313384</v>
      </c>
      <c r="S391" s="24">
        <f>Rådatakommune[[#This Row],[Eldre67+-O]]/Rådatakommune[[#This Row],[B16-O]]</f>
        <v>0.19993423216047354</v>
      </c>
      <c r="T391" s="24">
        <f>Rådatakommune[[#This Row],[S15-O]]/Rådatakommune[[#This Row],[S05-O]]-1</f>
        <v>-3.0451866404715089E-2</v>
      </c>
      <c r="U391" s="24">
        <f>Rådatakommune[[#This Row],[Y15-O]]/Rådatakommune[[#This Row],[Folk20-64-O]]</f>
        <v>0.82938388625592419</v>
      </c>
    </row>
    <row r="392" spans="1:21" x14ac:dyDescent="0.3">
      <c r="A392" s="2" t="s">
        <v>390</v>
      </c>
      <c r="B392" s="37">
        <v>1630</v>
      </c>
      <c r="C392" s="37">
        <v>1403</v>
      </c>
      <c r="D392" s="37">
        <v>627</v>
      </c>
      <c r="E392" s="40">
        <v>375</v>
      </c>
      <c r="F392" s="41">
        <v>117</v>
      </c>
      <c r="G392">
        <v>720</v>
      </c>
      <c r="H392" s="46">
        <v>548</v>
      </c>
      <c r="I392" s="37">
        <v>550</v>
      </c>
      <c r="J392" s="42">
        <v>234.16</v>
      </c>
      <c r="K392" s="5">
        <v>241.06</v>
      </c>
      <c r="L392" s="37">
        <v>344600</v>
      </c>
      <c r="M392" s="43">
        <v>292.56666666670003</v>
      </c>
      <c r="N392">
        <v>11</v>
      </c>
      <c r="O392" s="36">
        <f>Rådatakommune[[#This Row],[B16-O]]/Rådatakommune[[#This Row],[Landareal2016-O]]</f>
        <v>5.9916296549367951</v>
      </c>
      <c r="P392" s="36">
        <f>Rådatakommune[[#This Row],[B16-O]]/Rådatakommune[[#This Row],[Totalareal2016-O]]</f>
        <v>5.8201277690201607</v>
      </c>
      <c r="Q392" s="38">
        <f>Rådatakommune[[#This Row],[B16-O]]/Rådatakommune[[#This Row],[B06-O]]-1</f>
        <v>-0.13926380368098157</v>
      </c>
      <c r="R392" s="24">
        <f>Rådatakommune[[#This Row],[Kvinner20-39-O]]/Rådatakommune[[#This Row],[B16-O]]</f>
        <v>8.339272986457591E-2</v>
      </c>
      <c r="S392" s="24">
        <f>Rådatakommune[[#This Row],[Eldre67+-O]]/Rådatakommune[[#This Row],[B16-O]]</f>
        <v>0.26728439059158943</v>
      </c>
      <c r="T392" s="24">
        <f>Rådatakommune[[#This Row],[S15-O]]/Rådatakommune[[#This Row],[S05-O]]-1</f>
        <v>3.6496350364962904E-3</v>
      </c>
      <c r="U392" s="24">
        <f>Rådatakommune[[#This Row],[Y15-O]]/Rådatakommune[[#This Row],[Folk20-64-O]]</f>
        <v>0.87083333333333335</v>
      </c>
    </row>
    <row r="393" spans="1:21" x14ac:dyDescent="0.3">
      <c r="A393" s="2" t="s">
        <v>391</v>
      </c>
      <c r="B393" s="37">
        <v>1245</v>
      </c>
      <c r="C393" s="37">
        <v>1137</v>
      </c>
      <c r="D393" s="37">
        <v>495</v>
      </c>
      <c r="E393" s="40">
        <v>267</v>
      </c>
      <c r="F393" s="41">
        <v>105</v>
      </c>
      <c r="G393">
        <v>617</v>
      </c>
      <c r="H393" s="46">
        <v>375</v>
      </c>
      <c r="I393" s="37">
        <v>425</v>
      </c>
      <c r="J393" s="42">
        <v>305.39999999999998</v>
      </c>
      <c r="K393" s="5">
        <v>312.73999999999995</v>
      </c>
      <c r="L393" s="37">
        <v>342200</v>
      </c>
      <c r="M393" s="43">
        <v>251.75</v>
      </c>
      <c r="N393">
        <v>5</v>
      </c>
      <c r="O393" s="36">
        <f>Rådatakommune[[#This Row],[B16-O]]/Rådatakommune[[#This Row],[Landareal2016-O]]</f>
        <v>3.7229862475442048</v>
      </c>
      <c r="P393" s="36">
        <f>Rådatakommune[[#This Row],[B16-O]]/Rådatakommune[[#This Row],[Totalareal2016-O]]</f>
        <v>3.635607853168767</v>
      </c>
      <c r="Q393" s="38">
        <f>Rådatakommune[[#This Row],[B16-O]]/Rådatakommune[[#This Row],[B06-O]]-1</f>
        <v>-8.6746987951807242E-2</v>
      </c>
      <c r="R393" s="24">
        <f>Rådatakommune[[#This Row],[Kvinner20-39-O]]/Rådatakommune[[#This Row],[B16-O]]</f>
        <v>9.2348284960422161E-2</v>
      </c>
      <c r="S393" s="24">
        <f>Rådatakommune[[#This Row],[Eldre67+-O]]/Rådatakommune[[#This Row],[B16-O]]</f>
        <v>0.23482849604221637</v>
      </c>
      <c r="T393" s="24">
        <f>Rådatakommune[[#This Row],[S15-O]]/Rådatakommune[[#This Row],[S05-O]]-1</f>
        <v>0.1333333333333333</v>
      </c>
      <c r="U393" s="24">
        <f>Rådatakommune[[#This Row],[Y15-O]]/Rådatakommune[[#This Row],[Folk20-64-O]]</f>
        <v>0.80226904376012964</v>
      </c>
    </row>
    <row r="394" spans="1:21" x14ac:dyDescent="0.3">
      <c r="A394" s="2" t="s">
        <v>392</v>
      </c>
      <c r="B394" s="37">
        <v>1035</v>
      </c>
      <c r="C394" s="37">
        <v>1051</v>
      </c>
      <c r="D394" s="37">
        <v>427</v>
      </c>
      <c r="E394" s="40">
        <v>228</v>
      </c>
      <c r="F394" s="41">
        <v>98</v>
      </c>
      <c r="G394">
        <v>525</v>
      </c>
      <c r="H394" s="46">
        <v>344</v>
      </c>
      <c r="I394" s="37">
        <v>343</v>
      </c>
      <c r="J394" s="42">
        <v>296.11</v>
      </c>
      <c r="K394" s="5">
        <v>301.64</v>
      </c>
      <c r="L394" s="37">
        <v>337400</v>
      </c>
      <c r="M394" s="43">
        <v>262.53333333329999</v>
      </c>
      <c r="N394">
        <v>11</v>
      </c>
      <c r="O394" s="36">
        <f>Rådatakommune[[#This Row],[B16-O]]/Rådatakommune[[#This Row],[Landareal2016-O]]</f>
        <v>3.5493566579987164</v>
      </c>
      <c r="P394" s="36">
        <f>Rådatakommune[[#This Row],[B16-O]]/Rådatakommune[[#This Row],[Totalareal2016-O]]</f>
        <v>3.4842859037262963</v>
      </c>
      <c r="Q394" s="38">
        <f>Rådatakommune[[#This Row],[B16-O]]/Rådatakommune[[#This Row],[B06-O]]-1</f>
        <v>1.5458937198067568E-2</v>
      </c>
      <c r="R394" s="24">
        <f>Rådatakommune[[#This Row],[Kvinner20-39-O]]/Rådatakommune[[#This Row],[B16-O]]</f>
        <v>9.3244529019980968E-2</v>
      </c>
      <c r="S394" s="24">
        <f>Rådatakommune[[#This Row],[Eldre67+-O]]/Rådatakommune[[#This Row],[B16-O]]</f>
        <v>0.21693625118934348</v>
      </c>
      <c r="T394" s="24">
        <f>Rådatakommune[[#This Row],[S15-O]]/Rådatakommune[[#This Row],[S05-O]]-1</f>
        <v>-2.9069767441860517E-3</v>
      </c>
      <c r="U394" s="24">
        <f>Rådatakommune[[#This Row],[Y15-O]]/Rådatakommune[[#This Row],[Folk20-64-O]]</f>
        <v>0.81333333333333335</v>
      </c>
    </row>
    <row r="395" spans="1:21" x14ac:dyDescent="0.3">
      <c r="A395" s="2" t="s">
        <v>393</v>
      </c>
      <c r="B395" s="37">
        <v>3799</v>
      </c>
      <c r="C395" s="37">
        <v>4019</v>
      </c>
      <c r="D395" s="37">
        <v>2149</v>
      </c>
      <c r="E395" s="40">
        <v>642</v>
      </c>
      <c r="F395" s="41">
        <v>507</v>
      </c>
      <c r="G395">
        <v>2361</v>
      </c>
      <c r="H395" s="46">
        <v>1718</v>
      </c>
      <c r="I395" s="37">
        <v>1937</v>
      </c>
      <c r="J395" s="42">
        <v>2515.5100000000002</v>
      </c>
      <c r="K395" s="5">
        <v>2703.88</v>
      </c>
      <c r="L395" s="37">
        <v>388400</v>
      </c>
      <c r="M395" s="43">
        <v>234.4333333333</v>
      </c>
      <c r="N395">
        <v>9</v>
      </c>
      <c r="O395" s="36">
        <f>Rådatakommune[[#This Row],[B16-O]]/Rådatakommune[[#This Row],[Landareal2016-O]]</f>
        <v>1.5976879439954521</v>
      </c>
      <c r="P395" s="36">
        <f>Rådatakommune[[#This Row],[B16-O]]/Rådatakommune[[#This Row],[Totalareal2016-O]]</f>
        <v>1.4863825317691612</v>
      </c>
      <c r="Q395" s="38">
        <f>Rådatakommune[[#This Row],[B16-O]]/Rådatakommune[[#This Row],[B06-O]]-1</f>
        <v>5.7909976309555189E-2</v>
      </c>
      <c r="R395" s="24">
        <f>Rådatakommune[[#This Row],[Kvinner20-39-O]]/Rådatakommune[[#This Row],[B16-O]]</f>
        <v>0.12615078377705896</v>
      </c>
      <c r="S395" s="24">
        <f>Rådatakommune[[#This Row],[Eldre67+-O]]/Rådatakommune[[#This Row],[B16-O]]</f>
        <v>0.15974122916148295</v>
      </c>
      <c r="T395" s="24">
        <f>Rådatakommune[[#This Row],[S15-O]]/Rådatakommune[[#This Row],[S05-O]]-1</f>
        <v>0.12747380675203734</v>
      </c>
      <c r="U395" s="24">
        <f>Rådatakommune[[#This Row],[Y15-O]]/Rådatakommune[[#This Row],[Folk20-64-O]]</f>
        <v>0.91020753917831432</v>
      </c>
    </row>
    <row r="396" spans="1:21" x14ac:dyDescent="0.3">
      <c r="A396" s="2" t="s">
        <v>394</v>
      </c>
      <c r="B396" s="37">
        <v>2263</v>
      </c>
      <c r="C396" s="37">
        <v>2230</v>
      </c>
      <c r="D396" s="37">
        <v>1024</v>
      </c>
      <c r="E396" s="40">
        <v>415</v>
      </c>
      <c r="F396" s="41">
        <v>183</v>
      </c>
      <c r="G396">
        <v>1209</v>
      </c>
      <c r="H396" s="46">
        <v>896</v>
      </c>
      <c r="I396" s="37">
        <v>980</v>
      </c>
      <c r="J396" s="42">
        <v>438.05</v>
      </c>
      <c r="K396" s="5">
        <v>457.96000000000004</v>
      </c>
      <c r="L396" s="37">
        <v>329800</v>
      </c>
      <c r="M396" s="43">
        <v>257.8</v>
      </c>
      <c r="N396">
        <v>11</v>
      </c>
      <c r="O396" s="36">
        <f>Rådatakommune[[#This Row],[B16-O]]/Rådatakommune[[#This Row],[Landareal2016-O]]</f>
        <v>5.0907430658600612</v>
      </c>
      <c r="P396" s="36">
        <f>Rådatakommune[[#This Row],[B16-O]]/Rådatakommune[[#This Row],[Totalareal2016-O]]</f>
        <v>4.8694209101231545</v>
      </c>
      <c r="Q396" s="38">
        <f>Rådatakommune[[#This Row],[B16-O]]/Rådatakommune[[#This Row],[B06-O]]-1</f>
        <v>-1.4582412726469318E-2</v>
      </c>
      <c r="R396" s="24">
        <f>Rådatakommune[[#This Row],[Kvinner20-39-O]]/Rådatakommune[[#This Row],[B16-O]]</f>
        <v>8.2062780269058291E-2</v>
      </c>
      <c r="S396" s="24">
        <f>Rådatakommune[[#This Row],[Eldre67+-O]]/Rådatakommune[[#This Row],[B16-O]]</f>
        <v>0.18609865470852019</v>
      </c>
      <c r="T396" s="24">
        <f>Rådatakommune[[#This Row],[S15-O]]/Rådatakommune[[#This Row],[S05-O]]-1</f>
        <v>9.375E-2</v>
      </c>
      <c r="U396" s="24">
        <f>Rådatakommune[[#This Row],[Y15-O]]/Rådatakommune[[#This Row],[Folk20-64-O]]</f>
        <v>0.84698097601323408</v>
      </c>
    </row>
    <row r="397" spans="1:21" x14ac:dyDescent="0.3">
      <c r="A397" s="2" t="s">
        <v>395</v>
      </c>
      <c r="B397" s="37">
        <v>6578</v>
      </c>
      <c r="C397" s="37">
        <v>6741</v>
      </c>
      <c r="D397" s="37">
        <v>3583</v>
      </c>
      <c r="E397" s="40">
        <v>1076</v>
      </c>
      <c r="F397" s="41">
        <v>760</v>
      </c>
      <c r="G397">
        <v>3930</v>
      </c>
      <c r="H397" s="46">
        <v>3564</v>
      </c>
      <c r="I397" s="37">
        <v>3849</v>
      </c>
      <c r="J397" s="42">
        <v>3207.33</v>
      </c>
      <c r="K397" s="5">
        <v>3322.09</v>
      </c>
      <c r="L397" s="37">
        <v>393300</v>
      </c>
      <c r="M397" s="43">
        <v>221.5833333333</v>
      </c>
      <c r="N397">
        <v>9</v>
      </c>
      <c r="O397" s="36">
        <f>Rådatakommune[[#This Row],[B16-O]]/Rådatakommune[[#This Row],[Landareal2016-O]]</f>
        <v>2.1017481830681595</v>
      </c>
      <c r="P397" s="36">
        <f>Rådatakommune[[#This Row],[B16-O]]/Rådatakommune[[#This Row],[Totalareal2016-O]]</f>
        <v>2.0291443037365031</v>
      </c>
      <c r="Q397" s="38">
        <f>Rådatakommune[[#This Row],[B16-O]]/Rådatakommune[[#This Row],[B06-O]]-1</f>
        <v>2.4779568257829121E-2</v>
      </c>
      <c r="R397" s="24">
        <f>Rådatakommune[[#This Row],[Kvinner20-39-O]]/Rådatakommune[[#This Row],[B16-O]]</f>
        <v>0.11274291648123423</v>
      </c>
      <c r="S397" s="24">
        <f>Rådatakommune[[#This Row],[Eldre67+-O]]/Rådatakommune[[#This Row],[B16-O]]</f>
        <v>0.15962023438658954</v>
      </c>
      <c r="T397" s="24">
        <f>Rådatakommune[[#This Row],[S15-O]]/Rådatakommune[[#This Row],[S05-O]]-1</f>
        <v>7.9966329966330019E-2</v>
      </c>
      <c r="U397" s="24">
        <f>Rådatakommune[[#This Row],[Y15-O]]/Rådatakommune[[#This Row],[Folk20-64-O]]</f>
        <v>0.91170483460559792</v>
      </c>
    </row>
    <row r="398" spans="1:21" x14ac:dyDescent="0.3">
      <c r="A398" s="2" t="s">
        <v>396</v>
      </c>
      <c r="B398" s="37">
        <v>3322</v>
      </c>
      <c r="C398" s="37">
        <v>3452</v>
      </c>
      <c r="D398" s="37">
        <v>1685</v>
      </c>
      <c r="E398" s="40">
        <v>565</v>
      </c>
      <c r="F398" s="41">
        <v>377</v>
      </c>
      <c r="G398">
        <v>1945</v>
      </c>
      <c r="H398" s="46">
        <v>1092</v>
      </c>
      <c r="I398" s="37">
        <v>1055</v>
      </c>
      <c r="J398" s="42">
        <v>346.91</v>
      </c>
      <c r="K398" s="5">
        <v>361.17</v>
      </c>
      <c r="L398" s="37">
        <v>376700</v>
      </c>
      <c r="M398" s="43">
        <v>231.45</v>
      </c>
      <c r="N398">
        <v>8</v>
      </c>
      <c r="O398" s="36">
        <f>Rådatakommune[[#This Row],[B16-O]]/Rådatakommune[[#This Row],[Landareal2016-O]]</f>
        <v>9.9507076763425673</v>
      </c>
      <c r="P398" s="36">
        <f>Rådatakommune[[#This Row],[B16-O]]/Rådatakommune[[#This Row],[Totalareal2016-O]]</f>
        <v>9.5578259545366446</v>
      </c>
      <c r="Q398" s="38">
        <f>Rådatakommune[[#This Row],[B16-O]]/Rådatakommune[[#This Row],[B06-O]]-1</f>
        <v>3.9133052378085509E-2</v>
      </c>
      <c r="R398" s="24">
        <f>Rådatakommune[[#This Row],[Kvinner20-39-O]]/Rådatakommune[[#This Row],[B16-O]]</f>
        <v>0.10921205098493626</v>
      </c>
      <c r="S398" s="24">
        <f>Rådatakommune[[#This Row],[Eldre67+-O]]/Rådatakommune[[#This Row],[B16-O]]</f>
        <v>0.16367323290845887</v>
      </c>
      <c r="T398" s="24">
        <f>Rådatakommune[[#This Row],[S15-O]]/Rådatakommune[[#This Row],[S05-O]]-1</f>
        <v>-3.3882783882783873E-2</v>
      </c>
      <c r="U398" s="24">
        <f>Rådatakommune[[#This Row],[Y15-O]]/Rådatakommune[[#This Row],[Folk20-64-O]]</f>
        <v>0.86632390745501286</v>
      </c>
    </row>
    <row r="399" spans="1:21" x14ac:dyDescent="0.3">
      <c r="A399" s="2" t="s">
        <v>397</v>
      </c>
      <c r="B399" s="37">
        <v>1295</v>
      </c>
      <c r="C399" s="37">
        <v>1158</v>
      </c>
      <c r="D399" s="37">
        <v>510</v>
      </c>
      <c r="E399" s="40">
        <v>256</v>
      </c>
      <c r="F399" s="41">
        <v>96</v>
      </c>
      <c r="G399">
        <v>627</v>
      </c>
      <c r="H399" s="46">
        <v>419</v>
      </c>
      <c r="I399" s="37">
        <v>362</v>
      </c>
      <c r="J399" s="42">
        <v>276.95999999999998</v>
      </c>
      <c r="K399" s="5">
        <v>288.53999999999996</v>
      </c>
      <c r="L399" s="37">
        <v>349600</v>
      </c>
      <c r="M399" s="43">
        <v>255.11666666669998</v>
      </c>
      <c r="N399">
        <v>8</v>
      </c>
      <c r="O399" s="36">
        <f>Rådatakommune[[#This Row],[B16-O]]/Rådatakommune[[#This Row],[Landareal2016-O]]</f>
        <v>4.1811091854419411</v>
      </c>
      <c r="P399" s="36">
        <f>Rådatakommune[[#This Row],[B16-O]]/Rådatakommune[[#This Row],[Totalareal2016-O]]</f>
        <v>4.0133083801206073</v>
      </c>
      <c r="Q399" s="38">
        <f>Rådatakommune[[#This Row],[B16-O]]/Rådatakommune[[#This Row],[B06-O]]-1</f>
        <v>-0.10579150579150576</v>
      </c>
      <c r="R399" s="24">
        <f>Rådatakommune[[#This Row],[Kvinner20-39-O]]/Rådatakommune[[#This Row],[B16-O]]</f>
        <v>8.2901554404145081E-2</v>
      </c>
      <c r="S399" s="24">
        <f>Rådatakommune[[#This Row],[Eldre67+-O]]/Rådatakommune[[#This Row],[B16-O]]</f>
        <v>0.22107081174438686</v>
      </c>
      <c r="T399" s="24">
        <f>Rådatakommune[[#This Row],[S15-O]]/Rådatakommune[[#This Row],[S05-O]]-1</f>
        <v>-0.13603818615751795</v>
      </c>
      <c r="U399" s="24">
        <f>Rådatakommune[[#This Row],[Y15-O]]/Rådatakommune[[#This Row],[Folk20-64-O]]</f>
        <v>0.8133971291866029</v>
      </c>
    </row>
    <row r="400" spans="1:21" x14ac:dyDescent="0.3">
      <c r="A400" s="2" t="s">
        <v>398</v>
      </c>
      <c r="B400" s="37">
        <v>1598</v>
      </c>
      <c r="C400" s="37">
        <v>1543</v>
      </c>
      <c r="D400" s="37">
        <v>680</v>
      </c>
      <c r="E400" s="40">
        <v>366</v>
      </c>
      <c r="F400" s="41">
        <v>140</v>
      </c>
      <c r="G400">
        <v>791</v>
      </c>
      <c r="H400" s="46">
        <v>533</v>
      </c>
      <c r="I400" s="37">
        <v>443</v>
      </c>
      <c r="J400" s="42">
        <v>499.27</v>
      </c>
      <c r="K400" s="5">
        <v>523.87</v>
      </c>
      <c r="L400" s="37">
        <v>347700</v>
      </c>
      <c r="M400" s="43">
        <v>265.03333333329999</v>
      </c>
      <c r="N400">
        <v>8</v>
      </c>
      <c r="O400" s="36">
        <f>Rådatakommune[[#This Row],[B16-O]]/Rådatakommune[[#This Row],[Landareal2016-O]]</f>
        <v>3.0905121477356943</v>
      </c>
      <c r="P400" s="36">
        <f>Rådatakommune[[#This Row],[B16-O]]/Rådatakommune[[#This Row],[Totalareal2016-O]]</f>
        <v>2.9453872143852484</v>
      </c>
      <c r="Q400" s="38">
        <f>Rådatakommune[[#This Row],[B16-O]]/Rådatakommune[[#This Row],[B06-O]]-1</f>
        <v>-3.4418022528160175E-2</v>
      </c>
      <c r="R400" s="24">
        <f>Rådatakommune[[#This Row],[Kvinner20-39-O]]/Rådatakommune[[#This Row],[B16-O]]</f>
        <v>9.0732339598185358E-2</v>
      </c>
      <c r="S400" s="24">
        <f>Rådatakommune[[#This Row],[Eldre67+-O]]/Rådatakommune[[#This Row],[B16-O]]</f>
        <v>0.23720025923525601</v>
      </c>
      <c r="T400" s="24">
        <f>Rådatakommune[[#This Row],[S15-O]]/Rådatakommune[[#This Row],[S05-O]]-1</f>
        <v>-0.16885553470919323</v>
      </c>
      <c r="U400" s="24">
        <f>Rådatakommune[[#This Row],[Y15-O]]/Rådatakommune[[#This Row],[Folk20-64-O]]</f>
        <v>0.85967130214917831</v>
      </c>
    </row>
    <row r="401" spans="1:21" x14ac:dyDescent="0.3">
      <c r="A401" s="2" t="s">
        <v>399</v>
      </c>
      <c r="B401" s="37">
        <v>1005</v>
      </c>
      <c r="C401" s="37">
        <v>913</v>
      </c>
      <c r="D401" s="37">
        <v>389</v>
      </c>
      <c r="E401" s="40">
        <v>216</v>
      </c>
      <c r="F401" s="41">
        <v>79</v>
      </c>
      <c r="G401">
        <v>487</v>
      </c>
      <c r="H401" s="46">
        <v>407</v>
      </c>
      <c r="I401" s="37">
        <v>367</v>
      </c>
      <c r="J401" s="42">
        <v>235.3</v>
      </c>
      <c r="K401" s="5">
        <v>243.42000000000002</v>
      </c>
      <c r="L401" s="37">
        <v>351500</v>
      </c>
      <c r="M401" s="43">
        <v>299.43333333329997</v>
      </c>
      <c r="N401">
        <v>11</v>
      </c>
      <c r="O401" s="36">
        <f>Rådatakommune[[#This Row],[B16-O]]/Rådatakommune[[#This Row],[Landareal2016-O]]</f>
        <v>3.8801529961750956</v>
      </c>
      <c r="P401" s="36">
        <f>Rådatakommune[[#This Row],[B16-O]]/Rådatakommune[[#This Row],[Totalareal2016-O]]</f>
        <v>3.7507189220277706</v>
      </c>
      <c r="Q401" s="38">
        <f>Rådatakommune[[#This Row],[B16-O]]/Rådatakommune[[#This Row],[B06-O]]-1</f>
        <v>-9.1542288557213913E-2</v>
      </c>
      <c r="R401" s="24">
        <f>Rådatakommune[[#This Row],[Kvinner20-39-O]]/Rådatakommune[[#This Row],[B16-O]]</f>
        <v>8.6527929901423883E-2</v>
      </c>
      <c r="S401" s="24">
        <f>Rådatakommune[[#This Row],[Eldre67+-O]]/Rådatakommune[[#This Row],[B16-O]]</f>
        <v>0.23658269441401972</v>
      </c>
      <c r="T401" s="24">
        <f>Rådatakommune[[#This Row],[S15-O]]/Rådatakommune[[#This Row],[S05-O]]-1</f>
        <v>-9.8280098280098316E-2</v>
      </c>
      <c r="U401" s="24">
        <f>Rådatakommune[[#This Row],[Y15-O]]/Rådatakommune[[#This Row],[Folk20-64-O]]</f>
        <v>0.79876796714579057</v>
      </c>
    </row>
    <row r="402" spans="1:21" x14ac:dyDescent="0.3">
      <c r="A402" s="2" t="s">
        <v>400</v>
      </c>
      <c r="B402" s="37">
        <v>996</v>
      </c>
      <c r="C402" s="37">
        <v>915</v>
      </c>
      <c r="D402" s="37">
        <v>441</v>
      </c>
      <c r="E402" s="40">
        <v>185</v>
      </c>
      <c r="F402" s="41">
        <v>107</v>
      </c>
      <c r="G402">
        <v>541</v>
      </c>
      <c r="H402" s="46">
        <v>391</v>
      </c>
      <c r="I402" s="37">
        <v>444</v>
      </c>
      <c r="J402" s="42">
        <v>276.33999999999997</v>
      </c>
      <c r="K402" s="5">
        <v>293.89</v>
      </c>
      <c r="L402" s="37">
        <v>354800</v>
      </c>
      <c r="M402" s="43">
        <v>296.96666666670001</v>
      </c>
      <c r="N402">
        <v>11</v>
      </c>
      <c r="O402" s="36">
        <f>Rådatakommune[[#This Row],[B16-O]]/Rådatakommune[[#This Row],[Landareal2016-O]]</f>
        <v>3.3111384526308174</v>
      </c>
      <c r="P402" s="36">
        <f>Rådatakommune[[#This Row],[B16-O]]/Rådatakommune[[#This Row],[Totalareal2016-O]]</f>
        <v>3.1134097791690771</v>
      </c>
      <c r="Q402" s="38">
        <f>Rådatakommune[[#This Row],[B16-O]]/Rådatakommune[[#This Row],[B06-O]]-1</f>
        <v>-8.1325301204819289E-2</v>
      </c>
      <c r="R402" s="24">
        <f>Rådatakommune[[#This Row],[Kvinner20-39-O]]/Rådatakommune[[#This Row],[B16-O]]</f>
        <v>0.11693989071038251</v>
      </c>
      <c r="S402" s="24">
        <f>Rådatakommune[[#This Row],[Eldre67+-O]]/Rådatakommune[[#This Row],[B16-O]]</f>
        <v>0.20218579234972678</v>
      </c>
      <c r="T402" s="24">
        <f>Rådatakommune[[#This Row],[S15-O]]/Rådatakommune[[#This Row],[S05-O]]-1</f>
        <v>0.13554987212276215</v>
      </c>
      <c r="U402" s="24">
        <f>Rådatakommune[[#This Row],[Y15-O]]/Rådatakommune[[#This Row],[Folk20-64-O]]</f>
        <v>0.81515711645101663</v>
      </c>
    </row>
    <row r="403" spans="1:21" x14ac:dyDescent="0.3">
      <c r="A403" s="2" t="s">
        <v>401</v>
      </c>
      <c r="B403" s="37">
        <v>11051</v>
      </c>
      <c r="C403" s="37">
        <v>11618</v>
      </c>
      <c r="D403" s="37">
        <v>5590</v>
      </c>
      <c r="E403" s="40">
        <v>1761</v>
      </c>
      <c r="F403" s="41">
        <v>1283</v>
      </c>
      <c r="G403">
        <v>6527</v>
      </c>
      <c r="H403" s="46">
        <v>5335</v>
      </c>
      <c r="I403" s="37">
        <v>5992</v>
      </c>
      <c r="J403" s="42">
        <v>848.88</v>
      </c>
      <c r="K403" s="5">
        <v>892.46</v>
      </c>
      <c r="L403" s="37">
        <v>374600</v>
      </c>
      <c r="M403" s="43">
        <v>247.85</v>
      </c>
      <c r="N403">
        <v>8</v>
      </c>
      <c r="O403" s="36">
        <f>Rådatakommune[[#This Row],[B16-O]]/Rådatakommune[[#This Row],[Landareal2016-O]]</f>
        <v>13.686268966167185</v>
      </c>
      <c r="P403" s="36">
        <f>Rådatakommune[[#This Row],[B16-O]]/Rådatakommune[[#This Row],[Totalareal2016-O]]</f>
        <v>13.01795038433095</v>
      </c>
      <c r="Q403" s="38">
        <f>Rådatakommune[[#This Row],[B16-O]]/Rådatakommune[[#This Row],[B06-O]]-1</f>
        <v>5.13075739752058E-2</v>
      </c>
      <c r="R403" s="24">
        <f>Rådatakommune[[#This Row],[Kvinner20-39-O]]/Rådatakommune[[#This Row],[B16-O]]</f>
        <v>0.11043208813909451</v>
      </c>
      <c r="S403" s="24">
        <f>Rådatakommune[[#This Row],[Eldre67+-O]]/Rådatakommune[[#This Row],[B16-O]]</f>
        <v>0.15157514202100189</v>
      </c>
      <c r="T403" s="24">
        <f>Rådatakommune[[#This Row],[S15-O]]/Rådatakommune[[#This Row],[S05-O]]-1</f>
        <v>0.12314901593252103</v>
      </c>
      <c r="U403" s="24">
        <f>Rådatakommune[[#This Row],[Y15-O]]/Rådatakommune[[#This Row],[Folk20-64-O]]</f>
        <v>0.85644246974107552</v>
      </c>
    </row>
    <row r="404" spans="1:21" x14ac:dyDescent="0.3">
      <c r="A404" s="2" t="s">
        <v>402</v>
      </c>
      <c r="B404" s="37">
        <v>5569</v>
      </c>
      <c r="C404" s="37">
        <v>5701</v>
      </c>
      <c r="D404" s="37">
        <v>2693</v>
      </c>
      <c r="E404" s="40">
        <v>1182</v>
      </c>
      <c r="F404" s="41">
        <v>556</v>
      </c>
      <c r="G404">
        <v>3123</v>
      </c>
      <c r="H404" s="46">
        <v>2218</v>
      </c>
      <c r="I404" s="37">
        <v>2377</v>
      </c>
      <c r="J404" s="42">
        <v>1440.83</v>
      </c>
      <c r="K404" s="5">
        <v>1496.9199999999998</v>
      </c>
      <c r="L404" s="37">
        <v>349200</v>
      </c>
      <c r="M404" s="43">
        <v>250.21666666670001</v>
      </c>
      <c r="N404">
        <v>5</v>
      </c>
      <c r="O404" s="36">
        <f>Rådatakommune[[#This Row],[B16-O]]/Rådatakommune[[#This Row],[Landareal2016-O]]</f>
        <v>3.9567471526828291</v>
      </c>
      <c r="P404" s="36">
        <f>Rådatakommune[[#This Row],[B16-O]]/Rådatakommune[[#This Row],[Totalareal2016-O]]</f>
        <v>3.8084867594794649</v>
      </c>
      <c r="Q404" s="38">
        <f>Rådatakommune[[#This Row],[B16-O]]/Rådatakommune[[#This Row],[B06-O]]-1</f>
        <v>2.3702639612138698E-2</v>
      </c>
      <c r="R404" s="24">
        <f>Rådatakommune[[#This Row],[Kvinner20-39-O]]/Rådatakommune[[#This Row],[B16-O]]</f>
        <v>9.7526749693036305E-2</v>
      </c>
      <c r="S404" s="24">
        <f>Rådatakommune[[#This Row],[Eldre67+-O]]/Rådatakommune[[#This Row],[B16-O]]</f>
        <v>0.20733204700929661</v>
      </c>
      <c r="T404" s="24">
        <f>Rådatakommune[[#This Row],[S15-O]]/Rådatakommune[[#This Row],[S05-O]]-1</f>
        <v>7.1686203787195701E-2</v>
      </c>
      <c r="U404" s="24">
        <f>Rådatakommune[[#This Row],[Y15-O]]/Rådatakommune[[#This Row],[Folk20-64-O]]</f>
        <v>0.86231187960294586</v>
      </c>
    </row>
    <row r="405" spans="1:21" x14ac:dyDescent="0.3">
      <c r="A405" s="2" t="s">
        <v>403</v>
      </c>
      <c r="B405" s="37">
        <v>2369</v>
      </c>
      <c r="C405" s="37">
        <v>2282</v>
      </c>
      <c r="D405" s="37">
        <v>1090</v>
      </c>
      <c r="E405" s="40">
        <v>516</v>
      </c>
      <c r="F405" s="41">
        <v>224</v>
      </c>
      <c r="G405">
        <v>1280</v>
      </c>
      <c r="H405" s="46">
        <v>922</v>
      </c>
      <c r="I405" s="37">
        <v>901</v>
      </c>
      <c r="J405" s="42">
        <v>1050.71</v>
      </c>
      <c r="K405" s="5">
        <v>1091.5900000000001</v>
      </c>
      <c r="L405" s="37">
        <v>352000</v>
      </c>
      <c r="M405" s="43">
        <v>260.81666666670003</v>
      </c>
      <c r="N405">
        <v>4</v>
      </c>
      <c r="O405" s="36">
        <f>Rådatakommune[[#This Row],[B16-O]]/Rådatakommune[[#This Row],[Landareal2016-O]]</f>
        <v>2.1718647390811925</v>
      </c>
      <c r="P405" s="36">
        <f>Rådatakommune[[#This Row],[B16-O]]/Rådatakommune[[#This Row],[Totalareal2016-O]]</f>
        <v>2.0905284951309553</v>
      </c>
      <c r="Q405" s="38">
        <f>Rådatakommune[[#This Row],[B16-O]]/Rådatakommune[[#This Row],[B06-O]]-1</f>
        <v>-3.6724356268467706E-2</v>
      </c>
      <c r="R405" s="24">
        <f>Rådatakommune[[#This Row],[Kvinner20-39-O]]/Rådatakommune[[#This Row],[B16-O]]</f>
        <v>9.815950920245399E-2</v>
      </c>
      <c r="S405" s="24">
        <f>Rådatakommune[[#This Row],[Eldre67+-O]]/Rådatakommune[[#This Row],[B16-O]]</f>
        <v>0.22611744084136723</v>
      </c>
      <c r="T405" s="24">
        <f>Rådatakommune[[#This Row],[S15-O]]/Rådatakommune[[#This Row],[S05-O]]-1</f>
        <v>-2.2776572668112838E-2</v>
      </c>
      <c r="U405" s="24">
        <f>Rådatakommune[[#This Row],[Y15-O]]/Rådatakommune[[#This Row],[Folk20-64-O]]</f>
        <v>0.8515625</v>
      </c>
    </row>
    <row r="406" spans="1:21" x14ac:dyDescent="0.3">
      <c r="A406" s="2" t="s">
        <v>404</v>
      </c>
      <c r="B406" s="37">
        <v>3161</v>
      </c>
      <c r="C406" s="37">
        <v>2861</v>
      </c>
      <c r="D406" s="37">
        <v>1325</v>
      </c>
      <c r="E406" s="40">
        <v>655</v>
      </c>
      <c r="F406" s="41">
        <v>245</v>
      </c>
      <c r="G406">
        <v>1515</v>
      </c>
      <c r="H406" s="46">
        <v>1228</v>
      </c>
      <c r="I406" s="37">
        <v>1159</v>
      </c>
      <c r="J406" s="42">
        <v>795.68</v>
      </c>
      <c r="K406" s="5">
        <v>812.56</v>
      </c>
      <c r="L406" s="37">
        <v>360800</v>
      </c>
      <c r="M406" s="43">
        <v>297.03333333329999</v>
      </c>
      <c r="N406">
        <v>11</v>
      </c>
      <c r="O406" s="36">
        <f>Rådatakommune[[#This Row],[B16-O]]/Rådatakommune[[#This Row],[Landareal2016-O]]</f>
        <v>3.5956665996380455</v>
      </c>
      <c r="P406" s="36">
        <f>Rådatakommune[[#This Row],[B16-O]]/Rådatakommune[[#This Row],[Totalareal2016-O]]</f>
        <v>3.5209707590824064</v>
      </c>
      <c r="Q406" s="38">
        <f>Rådatakommune[[#This Row],[B16-O]]/Rådatakommune[[#This Row],[B06-O]]-1</f>
        <v>-9.4906675102815585E-2</v>
      </c>
      <c r="R406" s="24">
        <f>Rådatakommune[[#This Row],[Kvinner20-39-O]]/Rådatakommune[[#This Row],[B16-O]]</f>
        <v>8.5634393568682285E-2</v>
      </c>
      <c r="S406" s="24">
        <f>Rådatakommune[[#This Row],[Eldre67+-O]]/Rådatakommune[[#This Row],[B16-O]]</f>
        <v>0.22894092974484445</v>
      </c>
      <c r="T406" s="24">
        <f>Rådatakommune[[#This Row],[S15-O]]/Rådatakommune[[#This Row],[S05-O]]-1</f>
        <v>-5.618892508143325E-2</v>
      </c>
      <c r="U406" s="24">
        <f>Rådatakommune[[#This Row],[Y15-O]]/Rådatakommune[[#This Row],[Folk20-64-O]]</f>
        <v>0.87458745874587462</v>
      </c>
    </row>
    <row r="407" spans="1:21" x14ac:dyDescent="0.3">
      <c r="A407" s="2" t="s">
        <v>405</v>
      </c>
      <c r="B407" s="37">
        <v>1932</v>
      </c>
      <c r="C407" s="37">
        <v>1865</v>
      </c>
      <c r="D407" s="37">
        <v>886</v>
      </c>
      <c r="E407" s="40">
        <v>327</v>
      </c>
      <c r="F407" s="41">
        <v>181</v>
      </c>
      <c r="G407">
        <v>1043</v>
      </c>
      <c r="H407" s="46">
        <v>637</v>
      </c>
      <c r="I407" s="37">
        <v>693</v>
      </c>
      <c r="J407" s="42">
        <v>1477.77</v>
      </c>
      <c r="K407" s="5">
        <v>1542.83</v>
      </c>
      <c r="L407" s="37">
        <v>348000</v>
      </c>
      <c r="M407" s="43">
        <v>275.55</v>
      </c>
      <c r="N407">
        <v>10</v>
      </c>
      <c r="O407" s="36">
        <f>Rådatakommune[[#This Row],[B16-O]]/Rådatakommune[[#This Row],[Landareal2016-O]]</f>
        <v>1.2620367174864831</v>
      </c>
      <c r="P407" s="36">
        <f>Rådatakommune[[#This Row],[B16-O]]/Rådatakommune[[#This Row],[Totalareal2016-O]]</f>
        <v>1.2088175625311928</v>
      </c>
      <c r="Q407" s="38">
        <f>Rådatakommune[[#This Row],[B16-O]]/Rådatakommune[[#This Row],[B06-O]]-1</f>
        <v>-3.4679089026915078E-2</v>
      </c>
      <c r="R407" s="24">
        <f>Rådatakommune[[#This Row],[Kvinner20-39-O]]/Rådatakommune[[#This Row],[B16-O]]</f>
        <v>9.7050938337801609E-2</v>
      </c>
      <c r="S407" s="24">
        <f>Rådatakommune[[#This Row],[Eldre67+-O]]/Rådatakommune[[#This Row],[B16-O]]</f>
        <v>0.17533512064343162</v>
      </c>
      <c r="T407" s="24">
        <f>Rådatakommune[[#This Row],[S15-O]]/Rådatakommune[[#This Row],[S05-O]]-1</f>
        <v>8.7912087912087822E-2</v>
      </c>
      <c r="U407" s="24">
        <f>Rådatakommune[[#This Row],[Y15-O]]/Rådatakommune[[#This Row],[Folk20-64-O]]</f>
        <v>0.84947267497603063</v>
      </c>
    </row>
    <row r="408" spans="1:21" x14ac:dyDescent="0.3">
      <c r="A408" s="2" t="s">
        <v>406</v>
      </c>
      <c r="B408" s="37">
        <v>2261</v>
      </c>
      <c r="C408" s="37">
        <v>2150</v>
      </c>
      <c r="D408" s="37">
        <v>1013</v>
      </c>
      <c r="E408" s="40">
        <v>475</v>
      </c>
      <c r="F408" s="41">
        <v>201</v>
      </c>
      <c r="G408">
        <v>1198</v>
      </c>
      <c r="H408" s="46">
        <v>695</v>
      </c>
      <c r="I408" s="37">
        <v>733</v>
      </c>
      <c r="J408" s="42">
        <v>950.33</v>
      </c>
      <c r="K408" s="5">
        <v>991.18000000000006</v>
      </c>
      <c r="L408" s="37">
        <v>324200</v>
      </c>
      <c r="M408" s="43">
        <v>297.56666666670003</v>
      </c>
      <c r="N408">
        <v>11</v>
      </c>
      <c r="O408" s="36">
        <f>Rådatakommune[[#This Row],[B16-O]]/Rådatakommune[[#This Row],[Landareal2016-O]]</f>
        <v>2.2623720181410665</v>
      </c>
      <c r="P408" s="36">
        <f>Rådatakommune[[#This Row],[B16-O]]/Rådatakommune[[#This Row],[Totalareal2016-O]]</f>
        <v>2.1691317419641236</v>
      </c>
      <c r="Q408" s="38">
        <f>Rådatakommune[[#This Row],[B16-O]]/Rådatakommune[[#This Row],[B06-O]]-1</f>
        <v>-4.9093321539141921E-2</v>
      </c>
      <c r="R408" s="24">
        <f>Rådatakommune[[#This Row],[Kvinner20-39-O]]/Rådatakommune[[#This Row],[B16-O]]</f>
        <v>9.3488372093023256E-2</v>
      </c>
      <c r="S408" s="24">
        <f>Rådatakommune[[#This Row],[Eldre67+-O]]/Rådatakommune[[#This Row],[B16-O]]</f>
        <v>0.22093023255813954</v>
      </c>
      <c r="T408" s="24">
        <f>Rådatakommune[[#This Row],[S15-O]]/Rådatakommune[[#This Row],[S05-O]]-1</f>
        <v>5.4676258992805815E-2</v>
      </c>
      <c r="U408" s="24">
        <f>Rådatakommune[[#This Row],[Y15-O]]/Rådatakommune[[#This Row],[Folk20-64-O]]</f>
        <v>0.84557595993322199</v>
      </c>
    </row>
    <row r="409" spans="1:21" x14ac:dyDescent="0.3">
      <c r="A409" s="2" t="s">
        <v>407</v>
      </c>
      <c r="B409" s="37">
        <v>2971</v>
      </c>
      <c r="C409" s="37">
        <v>2920</v>
      </c>
      <c r="D409" s="37">
        <v>1391</v>
      </c>
      <c r="E409" s="40">
        <v>547</v>
      </c>
      <c r="F409" s="41">
        <v>334</v>
      </c>
      <c r="G409">
        <v>1629</v>
      </c>
      <c r="H409" s="46">
        <v>1269</v>
      </c>
      <c r="I409" s="37">
        <v>1285</v>
      </c>
      <c r="J409" s="42">
        <v>464.99</v>
      </c>
      <c r="K409" s="5">
        <v>473.7</v>
      </c>
      <c r="L409" s="37">
        <v>348000</v>
      </c>
      <c r="M409" s="43">
        <v>295.8333333333</v>
      </c>
      <c r="N409">
        <v>9</v>
      </c>
      <c r="O409" s="36">
        <f>Rådatakommune[[#This Row],[B16-O]]/Rådatakommune[[#This Row],[Landareal2016-O]]</f>
        <v>6.2797049398911806</v>
      </c>
      <c r="P409" s="36">
        <f>Rådatakommune[[#This Row],[B16-O]]/Rådatakommune[[#This Row],[Totalareal2016-O]]</f>
        <v>6.1642389698121178</v>
      </c>
      <c r="Q409" s="38">
        <f>Rådatakommune[[#This Row],[B16-O]]/Rådatakommune[[#This Row],[B06-O]]-1</f>
        <v>-1.7165937394816533E-2</v>
      </c>
      <c r="R409" s="24">
        <f>Rådatakommune[[#This Row],[Kvinner20-39-O]]/Rådatakommune[[#This Row],[B16-O]]</f>
        <v>0.11438356164383562</v>
      </c>
      <c r="S409" s="24">
        <f>Rådatakommune[[#This Row],[Eldre67+-O]]/Rådatakommune[[#This Row],[B16-O]]</f>
        <v>0.18732876712328766</v>
      </c>
      <c r="T409" s="24">
        <f>Rådatakommune[[#This Row],[S15-O]]/Rådatakommune[[#This Row],[S05-O]]-1</f>
        <v>1.2608353033884967E-2</v>
      </c>
      <c r="U409" s="24">
        <f>Rådatakommune[[#This Row],[Y15-O]]/Rådatakommune[[#This Row],[Folk20-64-O]]</f>
        <v>0.85389809699201968</v>
      </c>
    </row>
    <row r="410" spans="1:21" x14ac:dyDescent="0.3">
      <c r="A410" s="2" t="s">
        <v>408</v>
      </c>
      <c r="B410" s="37">
        <v>4772</v>
      </c>
      <c r="C410" s="37">
        <v>4895</v>
      </c>
      <c r="D410" s="37">
        <v>2277</v>
      </c>
      <c r="E410" s="40">
        <v>835</v>
      </c>
      <c r="F410" s="41">
        <v>547</v>
      </c>
      <c r="G410">
        <v>2750</v>
      </c>
      <c r="H410" s="46">
        <v>2064</v>
      </c>
      <c r="I410" s="37">
        <v>2003</v>
      </c>
      <c r="J410" s="42">
        <v>3336.06</v>
      </c>
      <c r="K410" s="5">
        <v>3437.46</v>
      </c>
      <c r="L410" s="37">
        <v>360500</v>
      </c>
      <c r="M410" s="43">
        <v>264.38333333333003</v>
      </c>
      <c r="N410">
        <v>9</v>
      </c>
      <c r="O410" s="36">
        <f>Rådatakommune[[#This Row],[B16-O]]/Rådatakommune[[#This Row],[Landareal2016-O]]</f>
        <v>1.4672997488054771</v>
      </c>
      <c r="P410" s="36">
        <f>Rådatakommune[[#This Row],[B16-O]]/Rådatakommune[[#This Row],[Totalareal2016-O]]</f>
        <v>1.424016570374637</v>
      </c>
      <c r="Q410" s="38">
        <f>Rådatakommune[[#This Row],[B16-O]]/Rådatakommune[[#This Row],[B06-O]]-1</f>
        <v>2.5775356244761127E-2</v>
      </c>
      <c r="R410" s="24">
        <f>Rådatakommune[[#This Row],[Kvinner20-39-O]]/Rådatakommune[[#This Row],[B16-O]]</f>
        <v>0.11174668028600612</v>
      </c>
      <c r="S410" s="24">
        <f>Rådatakommune[[#This Row],[Eldre67+-O]]/Rådatakommune[[#This Row],[B16-O]]</f>
        <v>0.17058222676200205</v>
      </c>
      <c r="T410" s="24">
        <f>Rådatakommune[[#This Row],[S15-O]]/Rådatakommune[[#This Row],[S05-O]]-1</f>
        <v>-2.9554263565891525E-2</v>
      </c>
      <c r="U410" s="24">
        <f>Rådatakommune[[#This Row],[Y15-O]]/Rådatakommune[[#This Row],[Folk20-64-O]]</f>
        <v>0.82799999999999996</v>
      </c>
    </row>
    <row r="411" spans="1:21" x14ac:dyDescent="0.3">
      <c r="A411" s="2" t="s">
        <v>409</v>
      </c>
      <c r="B411" s="37">
        <v>1387</v>
      </c>
      <c r="C411" s="37">
        <v>1231</v>
      </c>
      <c r="D411" s="37">
        <v>543</v>
      </c>
      <c r="E411" s="40">
        <v>286</v>
      </c>
      <c r="F411" s="41">
        <v>106</v>
      </c>
      <c r="G411">
        <v>664</v>
      </c>
      <c r="H411" s="46">
        <v>512</v>
      </c>
      <c r="I411" s="37">
        <v>453</v>
      </c>
      <c r="J411" s="42">
        <v>2008.64</v>
      </c>
      <c r="K411" s="5">
        <v>2109.4700000000003</v>
      </c>
      <c r="L411" s="37">
        <v>340300</v>
      </c>
      <c r="M411" s="43">
        <v>292.60000000000002</v>
      </c>
      <c r="N411">
        <v>11</v>
      </c>
      <c r="O411" s="36">
        <f>Rådatakommune[[#This Row],[B16-O]]/Rådatakommune[[#This Row],[Landareal2016-O]]</f>
        <v>0.61285247729807235</v>
      </c>
      <c r="P411" s="36">
        <f>Rådatakommune[[#This Row],[B16-O]]/Rådatakommune[[#This Row],[Totalareal2016-O]]</f>
        <v>0.5835589034212384</v>
      </c>
      <c r="Q411" s="38">
        <f>Rådatakommune[[#This Row],[B16-O]]/Rådatakommune[[#This Row],[B06-O]]-1</f>
        <v>-0.11247296322999278</v>
      </c>
      <c r="R411" s="24">
        <f>Rådatakommune[[#This Row],[Kvinner20-39-O]]/Rådatakommune[[#This Row],[B16-O]]</f>
        <v>8.6108854589764416E-2</v>
      </c>
      <c r="S411" s="24">
        <f>Rådatakommune[[#This Row],[Eldre67+-O]]/Rådatakommune[[#This Row],[B16-O]]</f>
        <v>0.23233143785540211</v>
      </c>
      <c r="T411" s="24">
        <f>Rådatakommune[[#This Row],[S15-O]]/Rådatakommune[[#This Row],[S05-O]]-1</f>
        <v>-0.115234375</v>
      </c>
      <c r="U411" s="24">
        <f>Rådatakommune[[#This Row],[Y15-O]]/Rådatakommune[[#This Row],[Folk20-64-O]]</f>
        <v>0.81777108433734935</v>
      </c>
    </row>
    <row r="412" spans="1:21" x14ac:dyDescent="0.3">
      <c r="A412" s="2" t="s">
        <v>410</v>
      </c>
      <c r="B412" s="37">
        <v>2338</v>
      </c>
      <c r="C412" s="37">
        <v>2137</v>
      </c>
      <c r="D412" s="37">
        <v>964</v>
      </c>
      <c r="E412" s="40">
        <v>416</v>
      </c>
      <c r="F412" s="41">
        <v>213</v>
      </c>
      <c r="G412">
        <v>1288</v>
      </c>
      <c r="H412" s="46">
        <v>937</v>
      </c>
      <c r="I412" s="37">
        <v>887</v>
      </c>
      <c r="J412" s="42">
        <v>585.59</v>
      </c>
      <c r="K412" s="5">
        <v>600.61</v>
      </c>
      <c r="L412" s="37">
        <v>342800</v>
      </c>
      <c r="M412" s="43">
        <v>277.06666666667002</v>
      </c>
      <c r="N412">
        <v>11</v>
      </c>
      <c r="O412" s="36">
        <f>Rådatakommune[[#This Row],[B16-O]]/Rådatakommune[[#This Row],[Landareal2016-O]]</f>
        <v>3.6493109513482129</v>
      </c>
      <c r="P412" s="36">
        <f>Rådatakommune[[#This Row],[B16-O]]/Rådatakommune[[#This Row],[Totalareal2016-O]]</f>
        <v>3.5580493165281961</v>
      </c>
      <c r="Q412" s="38">
        <f>Rådatakommune[[#This Row],[B16-O]]/Rådatakommune[[#This Row],[B06-O]]-1</f>
        <v>-8.5970915312232665E-2</v>
      </c>
      <c r="R412" s="24">
        <f>Rådatakommune[[#This Row],[Kvinner20-39-O]]/Rådatakommune[[#This Row],[B16-O]]</f>
        <v>9.9672437997192331E-2</v>
      </c>
      <c r="S412" s="24">
        <f>Rådatakommune[[#This Row],[Eldre67+-O]]/Rådatakommune[[#This Row],[B16-O]]</f>
        <v>0.19466541881141788</v>
      </c>
      <c r="T412" s="24">
        <f>Rådatakommune[[#This Row],[S15-O]]/Rådatakommune[[#This Row],[S05-O]]-1</f>
        <v>-5.3361792956243326E-2</v>
      </c>
      <c r="U412" s="24">
        <f>Rådatakommune[[#This Row],[Y15-O]]/Rådatakommune[[#This Row],[Folk20-64-O]]</f>
        <v>0.74844720496894412</v>
      </c>
    </row>
    <row r="413" spans="1:21" x14ac:dyDescent="0.3">
      <c r="A413" s="2" t="s">
        <v>411</v>
      </c>
      <c r="B413" s="37">
        <v>6114</v>
      </c>
      <c r="C413" s="37">
        <v>6160</v>
      </c>
      <c r="D413" s="37">
        <v>2950</v>
      </c>
      <c r="E413" s="40">
        <v>897</v>
      </c>
      <c r="F413" s="41">
        <v>676</v>
      </c>
      <c r="G413">
        <v>3561</v>
      </c>
      <c r="H413" s="46">
        <v>3125</v>
      </c>
      <c r="I413" s="37">
        <v>3007</v>
      </c>
      <c r="J413" s="42">
        <v>1233.68</v>
      </c>
      <c r="K413" s="5">
        <v>1257.6400000000001</v>
      </c>
      <c r="L413" s="37">
        <v>370300</v>
      </c>
      <c r="M413" s="43">
        <v>311.2</v>
      </c>
      <c r="N413">
        <v>7</v>
      </c>
      <c r="O413" s="36">
        <f>Rådatakommune[[#This Row],[B16-O]]/Rådatakommune[[#This Row],[Landareal2016-O]]</f>
        <v>4.9931911030413074</v>
      </c>
      <c r="P413" s="36">
        <f>Rådatakommune[[#This Row],[B16-O]]/Rådatakommune[[#This Row],[Totalareal2016-O]]</f>
        <v>4.89806303870742</v>
      </c>
      <c r="Q413" s="38">
        <f>Rådatakommune[[#This Row],[B16-O]]/Rådatakommune[[#This Row],[B06-O]]-1</f>
        <v>7.5237160614982646E-3</v>
      </c>
      <c r="R413" s="24">
        <f>Rådatakommune[[#This Row],[Kvinner20-39-O]]/Rådatakommune[[#This Row],[B16-O]]</f>
        <v>0.10974025974025974</v>
      </c>
      <c r="S413" s="24">
        <f>Rådatakommune[[#This Row],[Eldre67+-O]]/Rådatakommune[[#This Row],[B16-O]]</f>
        <v>0.14561688311688312</v>
      </c>
      <c r="T413" s="24">
        <f>Rådatakommune[[#This Row],[S15-O]]/Rådatakommune[[#This Row],[S05-O]]-1</f>
        <v>-3.7760000000000016E-2</v>
      </c>
      <c r="U413" s="24">
        <f>Rådatakommune[[#This Row],[Y15-O]]/Rådatakommune[[#This Row],[Folk20-64-O]]</f>
        <v>0.82841898343162035</v>
      </c>
    </row>
    <row r="414" spans="1:21" x14ac:dyDescent="0.3">
      <c r="A414" s="2" t="s">
        <v>412</v>
      </c>
      <c r="B414" s="37">
        <v>9361</v>
      </c>
      <c r="C414" s="37">
        <v>10455</v>
      </c>
      <c r="D414" s="37">
        <v>5534</v>
      </c>
      <c r="E414" s="40">
        <v>1304</v>
      </c>
      <c r="F414" s="41">
        <v>1427</v>
      </c>
      <c r="G414">
        <v>6402</v>
      </c>
      <c r="H414" s="46">
        <v>5330</v>
      </c>
      <c r="I414" s="37">
        <v>5740</v>
      </c>
      <c r="J414" s="42">
        <v>818.62</v>
      </c>
      <c r="K414" s="5">
        <v>848.2</v>
      </c>
      <c r="L414" s="37">
        <v>425200</v>
      </c>
      <c r="M414" s="43">
        <v>281.23333333332999</v>
      </c>
      <c r="N414">
        <v>6</v>
      </c>
      <c r="O414" s="36">
        <f>Rådatakommune[[#This Row],[B16-O]]/Rådatakommune[[#This Row],[Landareal2016-O]]</f>
        <v>12.771493489042536</v>
      </c>
      <c r="P414" s="36">
        <f>Rådatakommune[[#This Row],[B16-O]]/Rådatakommune[[#This Row],[Totalareal2016-O]]</f>
        <v>12.326102334355104</v>
      </c>
      <c r="Q414" s="38">
        <f>Rådatakommune[[#This Row],[B16-O]]/Rådatakommune[[#This Row],[B06-O]]-1</f>
        <v>0.11686785599829075</v>
      </c>
      <c r="R414" s="24">
        <f>Rådatakommune[[#This Row],[Kvinner20-39-O]]/Rådatakommune[[#This Row],[B16-O]]</f>
        <v>0.13648971783835484</v>
      </c>
      <c r="S414" s="24">
        <f>Rådatakommune[[#This Row],[Eldre67+-O]]/Rådatakommune[[#This Row],[B16-O]]</f>
        <v>0.12472501195600191</v>
      </c>
      <c r="T414" s="24">
        <f>Rådatakommune[[#This Row],[S15-O]]/Rådatakommune[[#This Row],[S05-O]]-1</f>
        <v>7.6923076923076872E-2</v>
      </c>
      <c r="U414" s="24">
        <f>Rådatakommune[[#This Row],[Y15-O]]/Rådatakommune[[#This Row],[Folk20-64-O]]</f>
        <v>0.86441736957200876</v>
      </c>
    </row>
    <row r="415" spans="1:21" x14ac:dyDescent="0.3">
      <c r="A415" s="2" t="s">
        <v>413</v>
      </c>
      <c r="B415" s="37">
        <v>2998</v>
      </c>
      <c r="C415" s="37">
        <v>2956</v>
      </c>
      <c r="D415" s="37">
        <v>1438</v>
      </c>
      <c r="E415" s="40">
        <v>382</v>
      </c>
      <c r="F415" s="41">
        <v>372</v>
      </c>
      <c r="G415">
        <v>1775</v>
      </c>
      <c r="H415" s="46">
        <v>1346</v>
      </c>
      <c r="I415" s="37">
        <v>1255</v>
      </c>
      <c r="J415" s="42">
        <v>8968.8700000000008</v>
      </c>
      <c r="K415" s="5">
        <v>9707.3300000000017</v>
      </c>
      <c r="L415" s="37">
        <v>305700</v>
      </c>
      <c r="M415" s="43">
        <v>315.68333333300001</v>
      </c>
      <c r="N415">
        <v>11</v>
      </c>
      <c r="O415" s="36">
        <f>Rådatakommune[[#This Row],[B16-O]]/Rådatakommune[[#This Row],[Landareal2016-O]]</f>
        <v>0.32958444040330609</v>
      </c>
      <c r="P415" s="36">
        <f>Rådatakommune[[#This Row],[B16-O]]/Rådatakommune[[#This Row],[Totalareal2016-O]]</f>
        <v>0.30451215730793119</v>
      </c>
      <c r="Q415" s="38">
        <f>Rådatakommune[[#This Row],[B16-O]]/Rådatakommune[[#This Row],[B06-O]]-1</f>
        <v>-1.4009339559706513E-2</v>
      </c>
      <c r="R415" s="24">
        <f>Rådatakommune[[#This Row],[Kvinner20-39-O]]/Rådatakommune[[#This Row],[B16-O]]</f>
        <v>0.12584573748308525</v>
      </c>
      <c r="S415" s="24">
        <f>Rådatakommune[[#This Row],[Eldre67+-O]]/Rådatakommune[[#This Row],[B16-O]]</f>
        <v>0.12922868741542626</v>
      </c>
      <c r="T415" s="24">
        <f>Rådatakommune[[#This Row],[S15-O]]/Rådatakommune[[#This Row],[S05-O]]-1</f>
        <v>-6.760772659732539E-2</v>
      </c>
      <c r="U415" s="24">
        <f>Rådatakommune[[#This Row],[Y15-O]]/Rådatakommune[[#This Row],[Folk20-64-O]]</f>
        <v>0.8101408450704225</v>
      </c>
    </row>
    <row r="416" spans="1:21" x14ac:dyDescent="0.3">
      <c r="A416" s="2" t="s">
        <v>414</v>
      </c>
      <c r="B416" s="37">
        <v>17889</v>
      </c>
      <c r="C416" s="37">
        <v>20097</v>
      </c>
      <c r="D416" s="37">
        <v>9875</v>
      </c>
      <c r="E416" s="40">
        <v>2279</v>
      </c>
      <c r="F416" s="41">
        <v>2571</v>
      </c>
      <c r="G416">
        <v>11848</v>
      </c>
      <c r="H416" s="46">
        <v>8829</v>
      </c>
      <c r="I416" s="37">
        <v>10039</v>
      </c>
      <c r="J416" s="42">
        <v>3652.74</v>
      </c>
      <c r="K416" s="5">
        <v>3849.43</v>
      </c>
      <c r="L416" s="37">
        <v>385400</v>
      </c>
      <c r="M416" s="43">
        <v>219.48333333332999</v>
      </c>
      <c r="N416">
        <v>6</v>
      </c>
      <c r="O416" s="36">
        <f>Rådatakommune[[#This Row],[B16-O]]/Rådatakommune[[#This Row],[Landareal2016-O]]</f>
        <v>5.5018972059330808</v>
      </c>
      <c r="P416" s="36">
        <f>Rådatakommune[[#This Row],[B16-O]]/Rådatakommune[[#This Row],[Totalareal2016-O]]</f>
        <v>5.2207729456049341</v>
      </c>
      <c r="Q416" s="38">
        <f>Rådatakommune[[#This Row],[B16-O]]/Rådatakommune[[#This Row],[B06-O]]-1</f>
        <v>0.1234278047962436</v>
      </c>
      <c r="R416" s="24">
        <f>Rådatakommune[[#This Row],[Kvinner20-39-O]]/Rådatakommune[[#This Row],[B16-O]]</f>
        <v>0.12792954172264517</v>
      </c>
      <c r="S416" s="24">
        <f>Rådatakommune[[#This Row],[Eldre67+-O]]/Rådatakommune[[#This Row],[B16-O]]</f>
        <v>0.11340000995173409</v>
      </c>
      <c r="T416" s="24">
        <f>Rådatakommune[[#This Row],[S15-O]]/Rådatakommune[[#This Row],[S05-O]]-1</f>
        <v>0.13704836334805748</v>
      </c>
      <c r="U416" s="24">
        <f>Rådatakommune[[#This Row],[Y15-O]]/Rådatakommune[[#This Row],[Folk20-64-O]]</f>
        <v>0.83347400405131666</v>
      </c>
    </row>
    <row r="417" spans="1:21" x14ac:dyDescent="0.3">
      <c r="A417" s="2" t="s">
        <v>415</v>
      </c>
      <c r="B417" s="37">
        <v>1213</v>
      </c>
      <c r="C417" s="37">
        <v>951</v>
      </c>
      <c r="D417" s="37">
        <v>446</v>
      </c>
      <c r="E417" s="40">
        <v>250</v>
      </c>
      <c r="F417" s="41">
        <v>77</v>
      </c>
      <c r="G417">
        <v>509</v>
      </c>
      <c r="H417" s="46">
        <v>439</v>
      </c>
      <c r="I417" s="37">
        <v>372</v>
      </c>
      <c r="J417" s="42">
        <v>670.93</v>
      </c>
      <c r="K417" s="5">
        <v>688.87</v>
      </c>
      <c r="L417" s="37">
        <v>335500</v>
      </c>
      <c r="M417" s="43">
        <v>311.8</v>
      </c>
      <c r="N417">
        <v>11</v>
      </c>
      <c r="O417" s="36">
        <f>Rådatakommune[[#This Row],[B16-O]]/Rådatakommune[[#This Row],[Landareal2016-O]]</f>
        <v>1.4174354999776431</v>
      </c>
      <c r="P417" s="36">
        <f>Rådatakommune[[#This Row],[B16-O]]/Rådatakommune[[#This Row],[Totalareal2016-O]]</f>
        <v>1.3805217239827543</v>
      </c>
      <c r="Q417" s="38">
        <f>Rådatakommune[[#This Row],[B16-O]]/Rådatakommune[[#This Row],[B06-O]]-1</f>
        <v>-0.21599340478153339</v>
      </c>
      <c r="R417" s="24">
        <f>Rådatakommune[[#This Row],[Kvinner20-39-O]]/Rådatakommune[[#This Row],[B16-O]]</f>
        <v>8.0967402733964244E-2</v>
      </c>
      <c r="S417" s="24">
        <f>Rådatakommune[[#This Row],[Eldre67+-O]]/Rådatakommune[[#This Row],[B16-O]]</f>
        <v>0.26288117770767611</v>
      </c>
      <c r="T417" s="24">
        <f>Rådatakommune[[#This Row],[S15-O]]/Rådatakommune[[#This Row],[S05-O]]-1</f>
        <v>-0.15261958997722092</v>
      </c>
      <c r="U417" s="24">
        <f>Rådatakommune[[#This Row],[Y15-O]]/Rådatakommune[[#This Row],[Folk20-64-O]]</f>
        <v>0.87622789783889976</v>
      </c>
    </row>
    <row r="418" spans="1:21" x14ac:dyDescent="0.3">
      <c r="A418" s="2" t="s">
        <v>416</v>
      </c>
      <c r="B418" s="37">
        <v>1033</v>
      </c>
      <c r="C418" s="37">
        <v>1054</v>
      </c>
      <c r="D418" s="37">
        <v>466</v>
      </c>
      <c r="E418" s="40">
        <v>191</v>
      </c>
      <c r="F418" s="41">
        <v>103</v>
      </c>
      <c r="G418">
        <v>638</v>
      </c>
      <c r="H418" s="46">
        <v>403</v>
      </c>
      <c r="I418" s="37">
        <v>405</v>
      </c>
      <c r="J418" s="42">
        <v>534.04</v>
      </c>
      <c r="K418" s="5">
        <v>555.55999999999995</v>
      </c>
      <c r="L418" s="37">
        <v>325700</v>
      </c>
      <c r="M418" s="43">
        <v>280.55</v>
      </c>
      <c r="N418">
        <v>11</v>
      </c>
      <c r="O418" s="36">
        <f>Rådatakommune[[#This Row],[B16-O]]/Rådatakommune[[#This Row],[Landareal2016-O]]</f>
        <v>1.9736349337128307</v>
      </c>
      <c r="P418" s="36">
        <f>Rådatakommune[[#This Row],[B16-O]]/Rådatakommune[[#This Row],[Totalareal2016-O]]</f>
        <v>1.8971848225214201</v>
      </c>
      <c r="Q418" s="38">
        <f>Rådatakommune[[#This Row],[B16-O]]/Rådatakommune[[#This Row],[B06-O]]-1</f>
        <v>2.0329138431752103E-2</v>
      </c>
      <c r="R418" s="24">
        <f>Rådatakommune[[#This Row],[Kvinner20-39-O]]/Rådatakommune[[#This Row],[B16-O]]</f>
        <v>9.7722960151802651E-2</v>
      </c>
      <c r="S418" s="24">
        <f>Rådatakommune[[#This Row],[Eldre67+-O]]/Rådatakommune[[#This Row],[B16-O]]</f>
        <v>0.18121442125237192</v>
      </c>
      <c r="T418" s="24">
        <f>Rådatakommune[[#This Row],[S15-O]]/Rådatakommune[[#This Row],[S05-O]]-1</f>
        <v>4.9627791563275903E-3</v>
      </c>
      <c r="U418" s="24">
        <f>Rådatakommune[[#This Row],[Y15-O]]/Rådatakommune[[#This Row],[Folk20-64-O]]</f>
        <v>0.73040752351097182</v>
      </c>
    </row>
    <row r="419" spans="1:21" x14ac:dyDescent="0.3">
      <c r="A419" s="2" t="s">
        <v>417</v>
      </c>
      <c r="B419" s="37">
        <v>1070</v>
      </c>
      <c r="C419" s="37">
        <v>1035</v>
      </c>
      <c r="D419" s="37">
        <v>464</v>
      </c>
      <c r="E419" s="40">
        <v>251</v>
      </c>
      <c r="F419" s="41">
        <v>84</v>
      </c>
      <c r="G419">
        <v>540</v>
      </c>
      <c r="H419" s="46">
        <v>333</v>
      </c>
      <c r="I419" s="37">
        <v>382</v>
      </c>
      <c r="J419" s="42">
        <v>1739.35</v>
      </c>
      <c r="K419" s="5">
        <v>1844.29</v>
      </c>
      <c r="L419" s="37">
        <v>363900</v>
      </c>
      <c r="M419" s="43">
        <v>298.0833333333</v>
      </c>
      <c r="N419">
        <v>6</v>
      </c>
      <c r="O419" s="36">
        <f>Rådatakommune[[#This Row],[B16-O]]/Rådatakommune[[#This Row],[Landareal2016-O]]</f>
        <v>0.59504987495328721</v>
      </c>
      <c r="P419" s="36">
        <f>Rådatakommune[[#This Row],[B16-O]]/Rådatakommune[[#This Row],[Totalareal2016-O]]</f>
        <v>0.56119156965553141</v>
      </c>
      <c r="Q419" s="38">
        <f>Rådatakommune[[#This Row],[B16-O]]/Rådatakommune[[#This Row],[B06-O]]-1</f>
        <v>-3.2710280373831724E-2</v>
      </c>
      <c r="R419" s="24">
        <f>Rådatakommune[[#This Row],[Kvinner20-39-O]]/Rådatakommune[[#This Row],[B16-O]]</f>
        <v>8.1159420289855067E-2</v>
      </c>
      <c r="S419" s="24">
        <f>Rådatakommune[[#This Row],[Eldre67+-O]]/Rådatakommune[[#This Row],[B16-O]]</f>
        <v>0.24251207729468599</v>
      </c>
      <c r="T419" s="24">
        <f>Rådatakommune[[#This Row],[S15-O]]/Rådatakommune[[#This Row],[S05-O]]-1</f>
        <v>0.14714714714714705</v>
      </c>
      <c r="U419" s="24">
        <f>Rådatakommune[[#This Row],[Y15-O]]/Rådatakommune[[#This Row],[Folk20-64-O]]</f>
        <v>0.85925925925925928</v>
      </c>
    </row>
    <row r="420" spans="1:21" x14ac:dyDescent="0.3">
      <c r="A420" s="2" t="s">
        <v>418</v>
      </c>
      <c r="B420" s="37">
        <v>1376</v>
      </c>
      <c r="C420" s="37">
        <v>1215</v>
      </c>
      <c r="D420" s="37">
        <v>546</v>
      </c>
      <c r="E420" s="40">
        <v>266</v>
      </c>
      <c r="F420" s="41">
        <v>126</v>
      </c>
      <c r="G420">
        <v>673</v>
      </c>
      <c r="H420" s="46">
        <v>588</v>
      </c>
      <c r="I420" s="37">
        <v>480</v>
      </c>
      <c r="J420" s="42">
        <v>1067.49</v>
      </c>
      <c r="K420" s="5">
        <v>1135.82</v>
      </c>
      <c r="L420" s="37">
        <v>358900</v>
      </c>
      <c r="M420" s="43">
        <v>361.16666666699996</v>
      </c>
      <c r="N420">
        <v>11</v>
      </c>
      <c r="O420" s="36">
        <f>Rådatakommune[[#This Row],[B16-O]]/Rådatakommune[[#This Row],[Landareal2016-O]]</f>
        <v>1.1381839642525926</v>
      </c>
      <c r="P420" s="36">
        <f>Rådatakommune[[#This Row],[B16-O]]/Rådatakommune[[#This Row],[Totalareal2016-O]]</f>
        <v>1.0697117501012485</v>
      </c>
      <c r="Q420" s="38">
        <f>Rådatakommune[[#This Row],[B16-O]]/Rådatakommune[[#This Row],[B06-O]]-1</f>
        <v>-0.11700581395348841</v>
      </c>
      <c r="R420" s="24">
        <f>Rådatakommune[[#This Row],[Kvinner20-39-O]]/Rådatakommune[[#This Row],[B16-O]]</f>
        <v>0.1037037037037037</v>
      </c>
      <c r="S420" s="24">
        <f>Rådatakommune[[#This Row],[Eldre67+-O]]/Rådatakommune[[#This Row],[B16-O]]</f>
        <v>0.21893004115226339</v>
      </c>
      <c r="T420" s="24">
        <f>Rådatakommune[[#This Row],[S15-O]]/Rådatakommune[[#This Row],[S05-O]]-1</f>
        <v>-0.18367346938775508</v>
      </c>
      <c r="U420" s="24">
        <f>Rådatakommune[[#This Row],[Y15-O]]/Rådatakommune[[#This Row],[Folk20-64-O]]</f>
        <v>0.81129271916790491</v>
      </c>
    </row>
    <row r="421" spans="1:21" x14ac:dyDescent="0.3">
      <c r="A421" s="2" t="s">
        <v>419</v>
      </c>
      <c r="B421" s="37">
        <v>3330</v>
      </c>
      <c r="C421" s="37">
        <v>3276</v>
      </c>
      <c r="D421" s="37">
        <v>1579</v>
      </c>
      <c r="E421" s="40">
        <v>538</v>
      </c>
      <c r="F421" s="41">
        <v>349</v>
      </c>
      <c r="G421">
        <v>1936</v>
      </c>
      <c r="H421" s="46">
        <v>1406</v>
      </c>
      <c r="I421" s="37">
        <v>1488</v>
      </c>
      <c r="J421" s="42">
        <v>891.59</v>
      </c>
      <c r="K421" s="5">
        <v>925.69</v>
      </c>
      <c r="L421" s="37">
        <v>376200</v>
      </c>
      <c r="M421" s="43">
        <v>331.65</v>
      </c>
      <c r="N421">
        <v>9</v>
      </c>
      <c r="O421" s="36">
        <f>Rådatakommune[[#This Row],[B16-O]]/Rådatakommune[[#This Row],[Landareal2016-O]]</f>
        <v>3.6743346156865822</v>
      </c>
      <c r="P421" s="36">
        <f>Rådatakommune[[#This Row],[B16-O]]/Rådatakommune[[#This Row],[Totalareal2016-O]]</f>
        <v>3.5389817325454525</v>
      </c>
      <c r="Q421" s="38">
        <f>Rådatakommune[[#This Row],[B16-O]]/Rådatakommune[[#This Row],[B06-O]]-1</f>
        <v>-1.6216216216216162E-2</v>
      </c>
      <c r="R421" s="24">
        <f>Rådatakommune[[#This Row],[Kvinner20-39-O]]/Rådatakommune[[#This Row],[B16-O]]</f>
        <v>0.10653235653235653</v>
      </c>
      <c r="S421" s="24">
        <f>Rådatakommune[[#This Row],[Eldre67+-O]]/Rådatakommune[[#This Row],[B16-O]]</f>
        <v>0.16422466422466422</v>
      </c>
      <c r="T421" s="24">
        <f>Rådatakommune[[#This Row],[S15-O]]/Rådatakommune[[#This Row],[S05-O]]-1</f>
        <v>5.8321479374110918E-2</v>
      </c>
      <c r="U421" s="24">
        <f>Rådatakommune[[#This Row],[Y15-O]]/Rådatakommune[[#This Row],[Folk20-64-O]]</f>
        <v>0.81559917355371903</v>
      </c>
    </row>
    <row r="422" spans="1:21" x14ac:dyDescent="0.3">
      <c r="A422" s="2" t="s">
        <v>420</v>
      </c>
      <c r="B422" s="37">
        <v>4222</v>
      </c>
      <c r="C422" s="37">
        <v>3978</v>
      </c>
      <c r="D422" s="37">
        <v>1931</v>
      </c>
      <c r="E422" s="40">
        <v>666</v>
      </c>
      <c r="F422" s="41">
        <v>417</v>
      </c>
      <c r="G422">
        <v>2354</v>
      </c>
      <c r="H422" s="46">
        <v>1880</v>
      </c>
      <c r="I422" s="37">
        <v>1836</v>
      </c>
      <c r="J422" s="42">
        <v>4640.25</v>
      </c>
      <c r="K422" s="5">
        <v>4872.58</v>
      </c>
      <c r="L422" s="37">
        <v>372000</v>
      </c>
      <c r="M422" s="43">
        <v>281.73333333332999</v>
      </c>
      <c r="N422">
        <v>9</v>
      </c>
      <c r="O422" s="36">
        <f>Rådatakommune[[#This Row],[B16-O]]/Rådatakommune[[#This Row],[Landareal2016-O]]</f>
        <v>0.85728139647648294</v>
      </c>
      <c r="P422" s="36">
        <f>Rådatakommune[[#This Row],[B16-O]]/Rådatakommune[[#This Row],[Totalareal2016-O]]</f>
        <v>0.81640527195038359</v>
      </c>
      <c r="Q422" s="38">
        <f>Rådatakommune[[#This Row],[B16-O]]/Rådatakommune[[#This Row],[B06-O]]-1</f>
        <v>-5.7792515395547084E-2</v>
      </c>
      <c r="R422" s="24">
        <f>Rådatakommune[[#This Row],[Kvinner20-39-O]]/Rådatakommune[[#This Row],[B16-O]]</f>
        <v>0.10482654600301659</v>
      </c>
      <c r="S422" s="24">
        <f>Rådatakommune[[#This Row],[Eldre67+-O]]/Rådatakommune[[#This Row],[B16-O]]</f>
        <v>0.167420814479638</v>
      </c>
      <c r="T422" s="24">
        <f>Rådatakommune[[#This Row],[S15-O]]/Rådatakommune[[#This Row],[S05-O]]-1</f>
        <v>-2.3404255319148914E-2</v>
      </c>
      <c r="U422" s="24">
        <f>Rådatakommune[[#This Row],[Y15-O]]/Rådatakommune[[#This Row],[Folk20-64-O]]</f>
        <v>0.82030586236193714</v>
      </c>
    </row>
    <row r="423" spans="1:21" x14ac:dyDescent="0.3">
      <c r="A423" s="2" t="s">
        <v>421</v>
      </c>
      <c r="B423" s="37">
        <v>2889</v>
      </c>
      <c r="C423" s="37">
        <v>2668</v>
      </c>
      <c r="D423" s="37">
        <v>1341</v>
      </c>
      <c r="E423" s="40">
        <v>394</v>
      </c>
      <c r="F423" s="41">
        <v>305</v>
      </c>
      <c r="G423">
        <v>1603</v>
      </c>
      <c r="H423" s="46">
        <v>1278</v>
      </c>
      <c r="I423" s="37">
        <v>1342</v>
      </c>
      <c r="J423" s="42">
        <v>5209.46</v>
      </c>
      <c r="K423" s="5">
        <v>5452.95</v>
      </c>
      <c r="L423" s="37">
        <v>339400</v>
      </c>
      <c r="M423" s="43">
        <v>335.0833333333</v>
      </c>
      <c r="N423">
        <v>11</v>
      </c>
      <c r="O423" s="36">
        <f>Rådatakommune[[#This Row],[B16-O]]/Rådatakommune[[#This Row],[Landareal2016-O]]</f>
        <v>0.5121452127475784</v>
      </c>
      <c r="P423" s="36">
        <f>Rådatakommune[[#This Row],[B16-O]]/Rådatakommune[[#This Row],[Totalareal2016-O]]</f>
        <v>0.48927644669399134</v>
      </c>
      <c r="Q423" s="38">
        <f>Rådatakommune[[#This Row],[B16-O]]/Rådatakommune[[#This Row],[B06-O]]-1</f>
        <v>-7.6497057805469004E-2</v>
      </c>
      <c r="R423" s="24">
        <f>Rådatakommune[[#This Row],[Kvinner20-39-O]]/Rådatakommune[[#This Row],[B16-O]]</f>
        <v>0.11431784107946028</v>
      </c>
      <c r="S423" s="24">
        <f>Rådatakommune[[#This Row],[Eldre67+-O]]/Rådatakommune[[#This Row],[B16-O]]</f>
        <v>0.14767616191904048</v>
      </c>
      <c r="T423" s="24">
        <f>Rådatakommune[[#This Row],[S15-O]]/Rådatakommune[[#This Row],[S05-O]]-1</f>
        <v>5.007824726134591E-2</v>
      </c>
      <c r="U423" s="24">
        <f>Rådatakommune[[#This Row],[Y15-O]]/Rådatakommune[[#This Row],[Folk20-64-O]]</f>
        <v>0.83655645664379286</v>
      </c>
    </row>
    <row r="424" spans="1:21" x14ac:dyDescent="0.3">
      <c r="A424" s="2" t="s">
        <v>422</v>
      </c>
      <c r="B424" s="37">
        <v>1391</v>
      </c>
      <c r="C424" s="37">
        <v>1318</v>
      </c>
      <c r="D424" s="37">
        <v>598</v>
      </c>
      <c r="E424" s="40">
        <v>237</v>
      </c>
      <c r="F424" s="41">
        <v>119</v>
      </c>
      <c r="G424">
        <v>754</v>
      </c>
      <c r="H424" s="46">
        <v>561</v>
      </c>
      <c r="I424" s="37">
        <v>540</v>
      </c>
      <c r="J424" s="42">
        <v>3232.32</v>
      </c>
      <c r="K424" s="5">
        <v>3459.4100000000003</v>
      </c>
      <c r="L424" s="37">
        <v>343400</v>
      </c>
      <c r="M424" s="43">
        <v>386.06666666670003</v>
      </c>
      <c r="N424">
        <v>11</v>
      </c>
      <c r="O424" s="36">
        <f>Rådatakommune[[#This Row],[B16-O]]/Rådatakommune[[#This Row],[Landareal2016-O]]</f>
        <v>0.40775665775665776</v>
      </c>
      <c r="P424" s="36">
        <f>Rådatakommune[[#This Row],[B16-O]]/Rådatakommune[[#This Row],[Totalareal2016-O]]</f>
        <v>0.38098982196386083</v>
      </c>
      <c r="Q424" s="38">
        <f>Rådatakommune[[#This Row],[B16-O]]/Rådatakommune[[#This Row],[B06-O]]-1</f>
        <v>-5.248023005032354E-2</v>
      </c>
      <c r="R424" s="24">
        <f>Rådatakommune[[#This Row],[Kvinner20-39-O]]/Rådatakommune[[#This Row],[B16-O]]</f>
        <v>9.028831562974203E-2</v>
      </c>
      <c r="S424" s="24">
        <f>Rådatakommune[[#This Row],[Eldre67+-O]]/Rådatakommune[[#This Row],[B16-O]]</f>
        <v>0.17981790591805766</v>
      </c>
      <c r="T424" s="24">
        <f>Rådatakommune[[#This Row],[S15-O]]/Rådatakommune[[#This Row],[S05-O]]-1</f>
        <v>-3.7433155080213942E-2</v>
      </c>
      <c r="U424" s="24">
        <f>Rådatakommune[[#This Row],[Y15-O]]/Rådatakommune[[#This Row],[Folk20-64-O]]</f>
        <v>0.7931034482758621</v>
      </c>
    </row>
    <row r="425" spans="1:21" x14ac:dyDescent="0.3">
      <c r="A425" s="2" t="s">
        <v>423</v>
      </c>
      <c r="B425" s="37">
        <v>1076</v>
      </c>
      <c r="C425" s="37">
        <v>1139</v>
      </c>
      <c r="D425" s="37">
        <v>543</v>
      </c>
      <c r="E425" s="40">
        <v>199</v>
      </c>
      <c r="F425" s="41">
        <v>117</v>
      </c>
      <c r="G425">
        <v>719</v>
      </c>
      <c r="H425" s="46">
        <v>436</v>
      </c>
      <c r="I425" s="37">
        <v>484</v>
      </c>
      <c r="J425" s="42">
        <v>1354.87</v>
      </c>
      <c r="K425" s="5">
        <v>1416.34</v>
      </c>
      <c r="L425" s="37">
        <v>334500</v>
      </c>
      <c r="M425" s="43">
        <v>363.08333333333002</v>
      </c>
      <c r="N425">
        <v>11</v>
      </c>
      <c r="O425" s="36">
        <f>Rådatakommune[[#This Row],[B16-O]]/Rådatakommune[[#This Row],[Landareal2016-O]]</f>
        <v>0.84067106069216979</v>
      </c>
      <c r="P425" s="36">
        <f>Rådatakommune[[#This Row],[B16-O]]/Rådatakommune[[#This Row],[Totalareal2016-O]]</f>
        <v>0.80418543570046741</v>
      </c>
      <c r="Q425" s="38">
        <f>Rådatakommune[[#This Row],[B16-O]]/Rådatakommune[[#This Row],[B06-O]]-1</f>
        <v>5.8550185873605942E-2</v>
      </c>
      <c r="R425" s="24">
        <f>Rådatakommune[[#This Row],[Kvinner20-39-O]]/Rådatakommune[[#This Row],[B16-O]]</f>
        <v>0.10272168568920105</v>
      </c>
      <c r="S425" s="24">
        <f>Rådatakommune[[#This Row],[Eldre67+-O]]/Rådatakommune[[#This Row],[B16-O]]</f>
        <v>0.17471466198419666</v>
      </c>
      <c r="T425" s="24">
        <f>Rådatakommune[[#This Row],[S15-O]]/Rådatakommune[[#This Row],[S05-O]]-1</f>
        <v>0.11009174311926606</v>
      </c>
      <c r="U425" s="24">
        <f>Rådatakommune[[#This Row],[Y15-O]]/Rådatakommune[[#This Row],[Folk20-64-O]]</f>
        <v>0.75521557719054244</v>
      </c>
    </row>
    <row r="426" spans="1:21" x14ac:dyDescent="0.3">
      <c r="A426" s="2" t="s">
        <v>424</v>
      </c>
      <c r="B426" s="37">
        <v>1104</v>
      </c>
      <c r="C426" s="37">
        <v>1000</v>
      </c>
      <c r="D426" s="37">
        <v>492</v>
      </c>
      <c r="E426" s="40">
        <v>200</v>
      </c>
      <c r="F426" s="41">
        <v>103</v>
      </c>
      <c r="G426">
        <v>589</v>
      </c>
      <c r="H426" s="46">
        <v>423</v>
      </c>
      <c r="I426" s="37">
        <v>426</v>
      </c>
      <c r="J426" s="42">
        <v>1082.77</v>
      </c>
      <c r="K426" s="5">
        <v>1121.78</v>
      </c>
      <c r="L426" s="37">
        <v>343100</v>
      </c>
      <c r="M426" s="43">
        <v>360.45</v>
      </c>
      <c r="N426">
        <v>11</v>
      </c>
      <c r="O426" s="36">
        <f>Rådatakommune[[#This Row],[B16-O]]/Rådatakommune[[#This Row],[Landareal2016-O]]</f>
        <v>0.92355717280678262</v>
      </c>
      <c r="P426" s="36">
        <f>Rådatakommune[[#This Row],[B16-O]]/Rådatakommune[[#This Row],[Totalareal2016-O]]</f>
        <v>0.8914403893811621</v>
      </c>
      <c r="Q426" s="38">
        <f>Rådatakommune[[#This Row],[B16-O]]/Rådatakommune[[#This Row],[B06-O]]-1</f>
        <v>-9.4202898550724612E-2</v>
      </c>
      <c r="R426" s="24">
        <f>Rådatakommune[[#This Row],[Kvinner20-39-O]]/Rådatakommune[[#This Row],[B16-O]]</f>
        <v>0.10299999999999999</v>
      </c>
      <c r="S426" s="24">
        <f>Rådatakommune[[#This Row],[Eldre67+-O]]/Rådatakommune[[#This Row],[B16-O]]</f>
        <v>0.2</v>
      </c>
      <c r="T426" s="24">
        <f>Rådatakommune[[#This Row],[S15-O]]/Rådatakommune[[#This Row],[S05-O]]-1</f>
        <v>7.0921985815601829E-3</v>
      </c>
      <c r="U426" s="24">
        <f>Rådatakommune[[#This Row],[Y15-O]]/Rådatakommune[[#This Row],[Folk20-64-O]]</f>
        <v>0.83531409168081494</v>
      </c>
    </row>
    <row r="427" spans="1:21" x14ac:dyDescent="0.3">
      <c r="A427" s="2" t="s">
        <v>425</v>
      </c>
      <c r="B427" s="37">
        <v>3006</v>
      </c>
      <c r="C427" s="37">
        <v>2922</v>
      </c>
      <c r="D427" s="37">
        <v>1479</v>
      </c>
      <c r="E427" s="40">
        <v>512</v>
      </c>
      <c r="F427" s="41">
        <v>295</v>
      </c>
      <c r="G427">
        <v>1713</v>
      </c>
      <c r="H427" s="46">
        <v>1307</v>
      </c>
      <c r="I427" s="37">
        <v>1425</v>
      </c>
      <c r="J427" s="42">
        <v>3831.81</v>
      </c>
      <c r="K427" s="5">
        <v>4051.35</v>
      </c>
      <c r="L427" s="37">
        <v>371600</v>
      </c>
      <c r="M427" s="43">
        <v>323</v>
      </c>
      <c r="N427">
        <v>11</v>
      </c>
      <c r="O427" s="36">
        <f>Rådatakommune[[#This Row],[B16-O]]/Rådatakommune[[#This Row],[Landareal2016-O]]</f>
        <v>0.7625639058304039</v>
      </c>
      <c r="P427" s="36">
        <f>Rådatakommune[[#This Row],[B16-O]]/Rådatakommune[[#This Row],[Totalareal2016-O]]</f>
        <v>0.72124106779221742</v>
      </c>
      <c r="Q427" s="38">
        <f>Rådatakommune[[#This Row],[B16-O]]/Rådatakommune[[#This Row],[B06-O]]-1</f>
        <v>-2.7944111776447067E-2</v>
      </c>
      <c r="R427" s="24">
        <f>Rådatakommune[[#This Row],[Kvinner20-39-O]]/Rådatakommune[[#This Row],[B16-O]]</f>
        <v>0.10095824777549624</v>
      </c>
      <c r="S427" s="24">
        <f>Rådatakommune[[#This Row],[Eldre67+-O]]/Rådatakommune[[#This Row],[B16-O]]</f>
        <v>0.17522245037645448</v>
      </c>
      <c r="T427" s="24">
        <f>Rådatakommune[[#This Row],[S15-O]]/Rådatakommune[[#This Row],[S05-O]]-1</f>
        <v>9.028309104820198E-2</v>
      </c>
      <c r="U427" s="24">
        <f>Rådatakommune[[#This Row],[Y15-O]]/Rådatakommune[[#This Row],[Folk20-64-O]]</f>
        <v>0.8633975481611208</v>
      </c>
    </row>
    <row r="428" spans="1:21" x14ac:dyDescent="0.3">
      <c r="A428" s="2" t="s">
        <v>426</v>
      </c>
      <c r="B428" s="37">
        <v>892</v>
      </c>
      <c r="C428" s="37">
        <v>959</v>
      </c>
      <c r="D428" s="37">
        <v>414</v>
      </c>
      <c r="E428" s="40">
        <v>196</v>
      </c>
      <c r="F428" s="41">
        <v>100</v>
      </c>
      <c r="G428">
        <v>527</v>
      </c>
      <c r="H428" s="46">
        <v>326</v>
      </c>
      <c r="I428" s="37">
        <v>333</v>
      </c>
      <c r="J428" s="42">
        <v>1365.92</v>
      </c>
      <c r="K428" s="5">
        <v>1436.89</v>
      </c>
      <c r="L428" s="37">
        <v>345800</v>
      </c>
      <c r="M428" s="43">
        <v>308.8333333333</v>
      </c>
      <c r="N428">
        <v>7</v>
      </c>
      <c r="O428" s="36">
        <f>Rådatakommune[[#This Row],[B16-O]]/Rådatakommune[[#This Row],[Landareal2016-O]]</f>
        <v>0.70209089844207562</v>
      </c>
      <c r="P428" s="36">
        <f>Rådatakommune[[#This Row],[B16-O]]/Rådatakommune[[#This Row],[Totalareal2016-O]]</f>
        <v>0.66741365031422029</v>
      </c>
      <c r="Q428" s="38">
        <f>Rådatakommune[[#This Row],[B16-O]]/Rådatakommune[[#This Row],[B06-O]]-1</f>
        <v>7.5112107623318325E-2</v>
      </c>
      <c r="R428" s="24">
        <f>Rådatakommune[[#This Row],[Kvinner20-39-O]]/Rådatakommune[[#This Row],[B16-O]]</f>
        <v>0.10427528675703858</v>
      </c>
      <c r="S428" s="24">
        <f>Rådatakommune[[#This Row],[Eldre67+-O]]/Rådatakommune[[#This Row],[B16-O]]</f>
        <v>0.20437956204379562</v>
      </c>
      <c r="T428" s="24">
        <f>Rådatakommune[[#This Row],[S15-O]]/Rådatakommune[[#This Row],[S05-O]]-1</f>
        <v>2.1472392638036908E-2</v>
      </c>
      <c r="U428" s="24">
        <f>Rådatakommune[[#This Row],[Y15-O]]/Rådatakommune[[#This Row],[Folk20-64-O]]</f>
        <v>0.78557874762808344</v>
      </c>
    </row>
    <row r="429" spans="1:21" x14ac:dyDescent="0.3">
      <c r="A429" s="2" t="s">
        <v>427</v>
      </c>
      <c r="B429" s="37">
        <v>2171</v>
      </c>
      <c r="C429" s="37">
        <v>2211</v>
      </c>
      <c r="D429" s="37">
        <v>1096</v>
      </c>
      <c r="E429" s="40">
        <v>305</v>
      </c>
      <c r="F429" s="41">
        <v>247</v>
      </c>
      <c r="G429">
        <v>1377</v>
      </c>
      <c r="H429" s="46">
        <v>998</v>
      </c>
      <c r="I429" s="37">
        <v>1099</v>
      </c>
      <c r="J429" s="42">
        <v>1416</v>
      </c>
      <c r="K429" s="5">
        <v>1434.72</v>
      </c>
      <c r="L429" s="37">
        <v>361400</v>
      </c>
      <c r="M429" s="43">
        <v>359.25</v>
      </c>
      <c r="N429">
        <v>9</v>
      </c>
      <c r="O429" s="36">
        <f>Rådatakommune[[#This Row],[B16-O]]/Rådatakommune[[#This Row],[Landareal2016-O]]</f>
        <v>1.5614406779661016</v>
      </c>
      <c r="P429" s="36">
        <f>Rådatakommune[[#This Row],[B16-O]]/Rådatakommune[[#This Row],[Totalareal2016-O]]</f>
        <v>1.5410672465707593</v>
      </c>
      <c r="Q429" s="38">
        <f>Rådatakommune[[#This Row],[B16-O]]/Rådatakommune[[#This Row],[B06-O]]-1</f>
        <v>1.8424689083371693E-2</v>
      </c>
      <c r="R429" s="24">
        <f>Rådatakommune[[#This Row],[Kvinner20-39-O]]/Rådatakommune[[#This Row],[B16-O]]</f>
        <v>0.1117141564902759</v>
      </c>
      <c r="S429" s="24">
        <f>Rådatakommune[[#This Row],[Eldre67+-O]]/Rådatakommune[[#This Row],[B16-O]]</f>
        <v>0.13794663048394393</v>
      </c>
      <c r="T429" s="24">
        <f>Rådatakommune[[#This Row],[S15-O]]/Rådatakommune[[#This Row],[S05-O]]-1</f>
        <v>0.10120240480961917</v>
      </c>
      <c r="U429" s="24">
        <f>Rådatakommune[[#This Row],[Y15-O]]/Rådatakommune[[#This Row],[Folk20-64-O]]</f>
        <v>0.79593318809005087</v>
      </c>
    </row>
    <row r="430" spans="1:21" x14ac:dyDescent="0.3">
      <c r="A430" s="2" t="s">
        <v>428</v>
      </c>
      <c r="B430" s="37">
        <v>9464</v>
      </c>
      <c r="C430" s="37">
        <v>10227</v>
      </c>
      <c r="D430" s="37">
        <v>5116</v>
      </c>
      <c r="E430" s="40">
        <v>1437</v>
      </c>
      <c r="F430" s="41">
        <v>1277</v>
      </c>
      <c r="G430">
        <v>6221</v>
      </c>
      <c r="H430" s="46">
        <v>4421</v>
      </c>
      <c r="I430" s="37">
        <v>5056</v>
      </c>
      <c r="J430" s="42">
        <v>3458.68</v>
      </c>
      <c r="K430" s="5">
        <v>3971.58</v>
      </c>
      <c r="L430" s="37">
        <v>390700</v>
      </c>
      <c r="M430" s="43">
        <v>237.35</v>
      </c>
      <c r="N430">
        <v>9</v>
      </c>
      <c r="O430" s="36">
        <f>Rådatakommune[[#This Row],[B16-O]]/Rådatakommune[[#This Row],[Landareal2016-O]]</f>
        <v>2.9569084159274639</v>
      </c>
      <c r="P430" s="36">
        <f>Rådatakommune[[#This Row],[B16-O]]/Rådatakommune[[#This Row],[Totalareal2016-O]]</f>
        <v>2.5750456996963424</v>
      </c>
      <c r="Q430" s="38">
        <f>Rådatakommune[[#This Row],[B16-O]]/Rådatakommune[[#This Row],[B06-O]]-1</f>
        <v>8.0621301775148035E-2</v>
      </c>
      <c r="R430" s="24">
        <f>Rådatakommune[[#This Row],[Kvinner20-39-O]]/Rådatakommune[[#This Row],[B16-O]]</f>
        <v>0.12486555197027477</v>
      </c>
      <c r="S430" s="24">
        <f>Rådatakommune[[#This Row],[Eldre67+-O]]/Rådatakommune[[#This Row],[B16-O]]</f>
        <v>0.14051041361102962</v>
      </c>
      <c r="T430" s="24">
        <f>Rådatakommune[[#This Row],[S15-O]]/Rådatakommune[[#This Row],[S05-O]]-1</f>
        <v>0.14363266229359883</v>
      </c>
      <c r="U430" s="24">
        <f>Rådatakommune[[#This Row],[Y15-O]]/Rådatakommune[[#This Row],[Folk20-64-O]]</f>
        <v>0.8223758238225366</v>
      </c>
    </row>
  </sheetData>
  <mergeCells count="3">
    <mergeCell ref="B1:K1"/>
    <mergeCell ref="L1:N1"/>
    <mergeCell ref="O1:U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9"/>
  <sheetViews>
    <sheetView tabSelected="1" workbookViewId="0">
      <pane xSplit="1" ySplit="3" topLeftCell="AB409" activePane="bottomRight" state="frozen"/>
      <selection pane="topRight" activeCell="B1" sqref="B1"/>
      <selection pane="bottomLeft" activeCell="A3" sqref="A3"/>
      <selection pane="bottomRight" activeCell="AO4" sqref="AO4"/>
    </sheetView>
  </sheetViews>
  <sheetFormatPr baseColWidth="10" defaultRowHeight="14.4" x14ac:dyDescent="0.3"/>
  <cols>
    <col min="1" max="1" width="25" bestFit="1" customWidth="1"/>
    <col min="2" max="2" width="16.88671875" customWidth="1"/>
    <col min="3" max="3" width="14.44140625" customWidth="1"/>
    <col min="4" max="5" width="13.33203125" customWidth="1"/>
    <col min="6" max="6" width="12.88671875" customWidth="1"/>
    <col min="7" max="7" width="14.33203125" customWidth="1"/>
    <col min="8" max="8" width="12.6640625" customWidth="1"/>
    <col min="9" max="9" width="22.33203125" customWidth="1"/>
    <col min="10" max="10" width="17.109375" customWidth="1"/>
    <col min="11" max="11" width="9.5546875" customWidth="1"/>
    <col min="12" max="12" width="11.109375" bestFit="1" customWidth="1"/>
    <col min="13" max="13" width="15.44140625" customWidth="1"/>
    <col min="14" max="15" width="14.33203125" customWidth="1"/>
    <col min="16" max="16" width="13.88671875" customWidth="1"/>
    <col min="17" max="17" width="15.33203125" customWidth="1"/>
    <col min="18" max="18" width="13.6640625" customWidth="1"/>
    <col min="19" max="19" width="23.33203125" customWidth="1"/>
    <col min="20" max="20" width="18.109375" customWidth="1"/>
    <col min="21" max="21" width="11.5546875" customWidth="1"/>
    <col min="22" max="22" width="10.6640625" bestFit="1" customWidth="1"/>
    <col min="23" max="23" width="15.88671875" bestFit="1" customWidth="1"/>
    <col min="24" max="24" width="14.6640625" bestFit="1" customWidth="1"/>
    <col min="25" max="25" width="14.6640625" customWidth="1"/>
    <col min="26" max="26" width="14.33203125" bestFit="1" customWidth="1"/>
    <col min="27" max="27" width="15.6640625" bestFit="1" customWidth="1"/>
    <col min="28" max="28" width="14.109375" bestFit="1" customWidth="1"/>
    <col min="29" max="29" width="24" bestFit="1" customWidth="1"/>
    <col min="30" max="30" width="18.88671875" bestFit="1" customWidth="1"/>
    <col min="31" max="31" width="11" bestFit="1" customWidth="1"/>
    <col min="32" max="40" width="11" customWidth="1"/>
  </cols>
  <sheetData>
    <row r="1" spans="1:41" x14ac:dyDescent="0.3">
      <c r="B1" s="66" t="s">
        <v>501</v>
      </c>
      <c r="C1" s="67"/>
      <c r="D1" s="67"/>
      <c r="E1" s="67"/>
      <c r="F1" s="67"/>
      <c r="G1" s="67"/>
      <c r="H1" s="67"/>
      <c r="I1" s="67"/>
      <c r="J1" s="67"/>
      <c r="K1" s="68"/>
      <c r="L1" s="63" t="s">
        <v>450</v>
      </c>
      <c r="M1" s="64"/>
      <c r="N1" s="64"/>
      <c r="O1" s="64"/>
      <c r="P1" s="64"/>
      <c r="Q1" s="64"/>
      <c r="R1" s="64"/>
      <c r="S1" s="64"/>
      <c r="T1" s="64"/>
      <c r="U1" s="65"/>
      <c r="V1" s="60" t="s">
        <v>459</v>
      </c>
      <c r="W1" s="61"/>
      <c r="X1" s="61"/>
      <c r="Y1" s="61"/>
      <c r="Z1" s="61"/>
      <c r="AA1" s="61"/>
      <c r="AB1" s="61"/>
      <c r="AC1" s="61"/>
      <c r="AD1" s="61"/>
      <c r="AE1" s="62"/>
      <c r="AF1" s="58" t="s">
        <v>511</v>
      </c>
      <c r="AG1" s="59"/>
      <c r="AH1" s="59"/>
      <c r="AI1" s="59"/>
      <c r="AJ1" s="59"/>
      <c r="AK1" s="59"/>
      <c r="AL1" s="59"/>
      <c r="AM1" s="59"/>
      <c r="AN1" s="59"/>
      <c r="AO1" s="51" t="s">
        <v>513</v>
      </c>
    </row>
    <row r="2" spans="1:41" x14ac:dyDescent="0.3">
      <c r="B2" s="70" t="s">
        <v>435</v>
      </c>
      <c r="C2" s="69"/>
      <c r="D2" s="69"/>
      <c r="E2" s="69"/>
      <c r="F2" s="69" t="s">
        <v>446</v>
      </c>
      <c r="G2" s="69"/>
      <c r="H2" s="69"/>
      <c r="I2" s="69" t="s">
        <v>447</v>
      </c>
      <c r="J2" s="69"/>
      <c r="K2" s="47" t="s">
        <v>448</v>
      </c>
      <c r="L2" s="71" t="s">
        <v>435</v>
      </c>
      <c r="M2" s="72"/>
      <c r="N2" s="72"/>
      <c r="O2" s="72"/>
      <c r="P2" s="72" t="s">
        <v>446</v>
      </c>
      <c r="Q2" s="72"/>
      <c r="R2" s="72"/>
      <c r="S2" s="72" t="s">
        <v>447</v>
      </c>
      <c r="T2" s="72"/>
      <c r="U2" s="48" t="s">
        <v>448</v>
      </c>
      <c r="V2" s="73" t="s">
        <v>435</v>
      </c>
      <c r="W2" s="74"/>
      <c r="X2" s="74"/>
      <c r="Y2" s="74"/>
      <c r="Z2" s="74" t="s">
        <v>446</v>
      </c>
      <c r="AA2" s="74"/>
      <c r="AB2" s="74"/>
      <c r="AC2" s="74" t="s">
        <v>447</v>
      </c>
      <c r="AD2" s="74"/>
      <c r="AE2" s="49" t="s">
        <v>448</v>
      </c>
      <c r="AF2" s="56" t="s">
        <v>435</v>
      </c>
      <c r="AG2" s="57"/>
      <c r="AH2" s="57"/>
      <c r="AI2" s="57" t="s">
        <v>446</v>
      </c>
      <c r="AJ2" s="57"/>
      <c r="AK2" s="57"/>
      <c r="AL2" s="57" t="s">
        <v>447</v>
      </c>
      <c r="AM2" s="57"/>
      <c r="AN2" s="52" t="s">
        <v>448</v>
      </c>
      <c r="AO2" s="51" t="s">
        <v>514</v>
      </c>
    </row>
    <row r="3" spans="1:41" x14ac:dyDescent="0.3">
      <c r="A3" s="4" t="s">
        <v>0</v>
      </c>
      <c r="B3" s="20" t="s">
        <v>482</v>
      </c>
      <c r="C3" s="21" t="s">
        <v>429</v>
      </c>
      <c r="D3" s="21" t="s">
        <v>436</v>
      </c>
      <c r="E3" s="21" t="s">
        <v>479</v>
      </c>
      <c r="F3" s="35" t="s">
        <v>439</v>
      </c>
      <c r="G3" s="22" t="s">
        <v>440</v>
      </c>
      <c r="H3" s="22" t="s">
        <v>441</v>
      </c>
      <c r="I3" s="22" t="s">
        <v>442</v>
      </c>
      <c r="J3" s="22" t="s">
        <v>443</v>
      </c>
      <c r="K3" s="23" t="s">
        <v>433</v>
      </c>
      <c r="L3" s="20" t="s">
        <v>483</v>
      </c>
      <c r="M3" s="21" t="s">
        <v>460</v>
      </c>
      <c r="N3" s="21" t="s">
        <v>461</v>
      </c>
      <c r="O3" s="21" t="s">
        <v>480</v>
      </c>
      <c r="P3" s="29" t="s">
        <v>462</v>
      </c>
      <c r="Q3" s="29" t="s">
        <v>463</v>
      </c>
      <c r="R3" s="29" t="s">
        <v>464</v>
      </c>
      <c r="S3" s="29" t="s">
        <v>465</v>
      </c>
      <c r="T3" s="29" t="s">
        <v>466</v>
      </c>
      <c r="U3" s="31" t="s">
        <v>467</v>
      </c>
      <c r="V3" s="20" t="s">
        <v>484</v>
      </c>
      <c r="W3" s="21" t="s">
        <v>468</v>
      </c>
      <c r="X3" s="21" t="s">
        <v>469</v>
      </c>
      <c r="Y3" s="21" t="s">
        <v>478</v>
      </c>
      <c r="Z3" s="29" t="s">
        <v>470</v>
      </c>
      <c r="AA3" s="29" t="s">
        <v>471</v>
      </c>
      <c r="AB3" s="29" t="s">
        <v>472</v>
      </c>
      <c r="AC3" s="29" t="s">
        <v>473</v>
      </c>
      <c r="AD3" s="29" t="s">
        <v>474</v>
      </c>
      <c r="AE3" s="31" t="s">
        <v>475</v>
      </c>
      <c r="AF3" s="50" t="s">
        <v>502</v>
      </c>
      <c r="AG3" s="50" t="s">
        <v>503</v>
      </c>
      <c r="AH3" s="50" t="s">
        <v>504</v>
      </c>
      <c r="AI3" s="50" t="s">
        <v>505</v>
      </c>
      <c r="AJ3" s="50" t="s">
        <v>506</v>
      </c>
      <c r="AK3" s="50" t="s">
        <v>507</v>
      </c>
      <c r="AL3" s="50" t="s">
        <v>508</v>
      </c>
      <c r="AM3" s="50" t="s">
        <v>509</v>
      </c>
      <c r="AN3" s="50" t="s">
        <v>510</v>
      </c>
      <c r="AO3" s="34" t="s">
        <v>512</v>
      </c>
    </row>
    <row r="4" spans="1:41" x14ac:dyDescent="0.3">
      <c r="A4" s="1" t="s">
        <v>1</v>
      </c>
      <c r="B4">
        <f>'Rådata-K'!N3</f>
        <v>5</v>
      </c>
      <c r="C4" s="7">
        <f>'Rådata-K'!M3</f>
        <v>75.733333333299996</v>
      </c>
      <c r="D4" s="24">
        <f>'Rådata-K'!O3</f>
        <v>51.299966409136715</v>
      </c>
      <c r="E4" s="24">
        <f>'Rådata-K'!P3</f>
        <v>47.559285614188063</v>
      </c>
      <c r="F4" s="24">
        <f>'Rådata-K'!Q3</f>
        <v>0.10179640718562877</v>
      </c>
      <c r="G4" s="24">
        <f>'Rådata-K'!R3</f>
        <v>0.11776453640649555</v>
      </c>
      <c r="H4" s="24">
        <f>'Rådata-K'!S3</f>
        <v>0.16562991094814039</v>
      </c>
      <c r="I4" s="24">
        <f>'Rådata-K'!T3</f>
        <v>4.7392155194418528E-2</v>
      </c>
      <c r="J4" s="24">
        <f>'Rådata-K'!U3</f>
        <v>0.75996366526626546</v>
      </c>
      <c r="K4" s="24">
        <f>'Rådata-K'!L3</f>
        <v>361300</v>
      </c>
      <c r="L4" s="24">
        <f>Tabell2[[#This Row],[NIBR11]]</f>
        <v>5</v>
      </c>
      <c r="M4" s="24">
        <f>IF(Tabell2[[#This Row],[ReisetidOslo]]&lt;=C$434,C$434,IF(Tabell2[[#This Row],[ReisetidOslo]]&gt;=C$435,C$435,Tabell2[[#This Row],[ReisetidOslo]]))</f>
        <v>75.733333333299996</v>
      </c>
      <c r="N4" s="24">
        <f>IF(Tabell2[[#This Row],[Beftettland]]&lt;=D$434,D$434,IF(Tabell2[[#This Row],[Beftettland]]&gt;=D$435,D$435,Tabell2[[#This Row],[Beftettland]]))</f>
        <v>51.299966409136715</v>
      </c>
      <c r="O4" s="24">
        <f>IF(Tabell2[[#This Row],[Beftettotal]]&lt;=E$434,E$434,IF(Tabell2[[#This Row],[Beftettotal]]&gt;=E$435,E$435,Tabell2[[#This Row],[Beftettotal]]))</f>
        <v>47.559285614188063</v>
      </c>
      <c r="P4" s="24">
        <f>IF(Tabell2[[#This Row],[Befvekst10]]&lt;=F$434,F$434,IF(Tabell2[[#This Row],[Befvekst10]]&gt;=F$435,F$435,Tabell2[[#This Row],[Befvekst10]]))</f>
        <v>0.10179640718562877</v>
      </c>
      <c r="Q4" s="24">
        <f>IF(Tabell2[[#This Row],[Kvinneandel]]&lt;=G$434,G$434,IF(Tabell2[[#This Row],[Kvinneandel]]&gt;=G$435,G$435,Tabell2[[#This Row],[Kvinneandel]]))</f>
        <v>0.11776453640649555</v>
      </c>
      <c r="R4" s="24">
        <f>IF(Tabell2[[#This Row],[Eldreandel]]&lt;=H$434,H$434,IF(Tabell2[[#This Row],[Eldreandel]]&gt;=H$435,H$435,Tabell2[[#This Row],[Eldreandel]]))</f>
        <v>0.16562991094814039</v>
      </c>
      <c r="S4" s="24">
        <f>IF(Tabell2[[#This Row],[Sysselsettingsvekst10]]&lt;=I$434,I$434,IF(Tabell2[[#This Row],[Sysselsettingsvekst10]]&gt;=I$435,I$435,Tabell2[[#This Row],[Sysselsettingsvekst10]]))</f>
        <v>4.7392155194418528E-2</v>
      </c>
      <c r="T4" s="24">
        <f>IF(Tabell2[[#This Row],[Yrkesaktivandel]]&lt;=J$434,J$434,IF(Tabell2[[#This Row],[Yrkesaktivandel]]&gt;=J$435,J$435,Tabell2[[#This Row],[Yrkesaktivandel]]))</f>
        <v>0.79888426611272945</v>
      </c>
      <c r="U4" s="24">
        <f>IF(Tabell2[[#This Row],[Inntekt]]&lt;=K$434,K$434,IF(Tabell2[[#This Row],[Inntekt]]&gt;=K$435,K$435,Tabell2[[#This Row],[Inntekt]]))</f>
        <v>361300</v>
      </c>
      <c r="V4" s="7">
        <f>IF(Tabell2[[#This Row],[NIBR11-T]]&lt;=L$437,100,IF(Tabell2[[#This Row],[NIBR11-T]]&gt;=L$436,0,100*(L$436-Tabell2[[#This Row],[NIBR11-T]])/L$439))</f>
        <v>60</v>
      </c>
      <c r="W4" s="7">
        <f>(M$436-Tabell2[[#This Row],[ReisetidOslo-T]])*100/M$439</f>
        <v>89.82376599635937</v>
      </c>
      <c r="X4" s="7">
        <f>100-(N$436-Tabell2[[#This Row],[Beftettland-T]])*100/N$439</f>
        <v>36.90931136934239</v>
      </c>
      <c r="Y4" s="7">
        <f>100-(O$436-Tabell2[[#This Row],[Beftettotal-T]])*100/O$439</f>
        <v>35.394814891228521</v>
      </c>
      <c r="Z4" s="7">
        <f>100-(P$436-Tabell2[[#This Row],[Befvekst10-T]])*100/P$439</f>
        <v>69.966699874124117</v>
      </c>
      <c r="AA4" s="7">
        <f>100-(Q$436-Tabell2[[#This Row],[Kvinneandel-T]])*100/Q$439</f>
        <v>74.195122734777755</v>
      </c>
      <c r="AB4" s="7">
        <f>(R$436-Tabell2[[#This Row],[Eldreandel-T]])*100/R$439</f>
        <v>59.034213657139972</v>
      </c>
      <c r="AC4" s="7">
        <f>100-(S$436-Tabell2[[#This Row],[Sysselsettingsvekst10-T]])*100/S$439</f>
        <v>45.676899156939463</v>
      </c>
      <c r="AD4" s="7">
        <f>100-(T$436-Tabell2[[#This Row],[Yrkesaktivandel-T]])*100/T$439</f>
        <v>0</v>
      </c>
      <c r="AE4" s="7">
        <f>100-(U$436-Tabell2[[#This Row],[Inntekt-T]])*100/U$439</f>
        <v>19.061054057104158</v>
      </c>
      <c r="AF4" s="7">
        <v>12</v>
      </c>
      <c r="AG4" s="7">
        <v>8.9823765996359377</v>
      </c>
      <c r="AH4" s="7">
        <v>3.5394814891228523</v>
      </c>
      <c r="AI4" s="7">
        <v>13.993339974824824</v>
      </c>
      <c r="AJ4" s="7">
        <v>3.7097561367388878</v>
      </c>
      <c r="AK4" s="7">
        <v>2.9517106828569988</v>
      </c>
      <c r="AL4" s="7">
        <v>4.5676899156939461</v>
      </c>
      <c r="AM4" s="7">
        <v>0</v>
      </c>
      <c r="AN4" s="7">
        <v>1.9061054057104159</v>
      </c>
      <c r="AO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51.650460204583858</v>
      </c>
    </row>
    <row r="5" spans="1:41" x14ac:dyDescent="0.3">
      <c r="A5" s="1" t="s">
        <v>2</v>
      </c>
      <c r="B5">
        <f>'Rådata-K'!N4</f>
        <v>4</v>
      </c>
      <c r="C5" s="7">
        <f>'Rådata-K'!M4</f>
        <v>41.7166666667</v>
      </c>
      <c r="D5" s="24">
        <f>'Rådata-K'!O4</f>
        <v>554.76641958283062</v>
      </c>
      <c r="E5" s="24">
        <f>'Rådata-K'!P4</f>
        <v>506.24508415919456</v>
      </c>
      <c r="F5" s="24">
        <f>'Rådata-K'!Q4</f>
        <v>0.14193456816407646</v>
      </c>
      <c r="G5" s="24">
        <f>'Rådata-K'!R4</f>
        <v>0.11484680877509167</v>
      </c>
      <c r="H5" s="24">
        <f>'Rådata-K'!S4</f>
        <v>0.16649058479895593</v>
      </c>
      <c r="I5" s="24">
        <f>'Rådata-K'!T4</f>
        <v>-6.5473654310467255E-2</v>
      </c>
      <c r="J5" s="24">
        <f>'Rådata-K'!U4</f>
        <v>0.77008772401915937</v>
      </c>
      <c r="K5" s="24">
        <f>'Rådata-K'!L4</f>
        <v>386300</v>
      </c>
      <c r="L5" s="24">
        <f>Tabell2[[#This Row],[NIBR11]]</f>
        <v>4</v>
      </c>
      <c r="M5" s="24">
        <f>IF(Tabell2[[#This Row],[ReisetidOslo]]&lt;=C$434,C$434,IF(Tabell2[[#This Row],[ReisetidOslo]]&gt;=C$435,C$435,Tabell2[[#This Row],[ReisetidOslo]]))</f>
        <v>52.54</v>
      </c>
      <c r="N5" s="24">
        <f>IF(Tabell2[[#This Row],[Beftettland]]&lt;=D$434,D$434,IF(Tabell2[[#This Row],[Beftettland]]&gt;=D$435,D$435,Tabell2[[#This Row],[Beftettland]]))</f>
        <v>136.59179999736304</v>
      </c>
      <c r="O5" s="24">
        <f>IF(Tabell2[[#This Row],[Beftettotal]]&lt;=E$434,E$434,IF(Tabell2[[#This Row],[Beftettotal]]&gt;=E$435,E$435,Tabell2[[#This Row],[Beftettotal]]))</f>
        <v>131.96212083018065</v>
      </c>
      <c r="P5" s="24">
        <f>IF(Tabell2[[#This Row],[Befvekst10]]&lt;=F$434,F$434,IF(Tabell2[[#This Row],[Befvekst10]]&gt;=F$435,F$435,Tabell2[[#This Row],[Befvekst10]]))</f>
        <v>0.14193456816407646</v>
      </c>
      <c r="Q5" s="24">
        <f>IF(Tabell2[[#This Row],[Kvinneandel]]&lt;=G$434,G$434,IF(Tabell2[[#This Row],[Kvinneandel]]&gt;=G$435,G$435,Tabell2[[#This Row],[Kvinneandel]]))</f>
        <v>0.11484680877509167</v>
      </c>
      <c r="R5" s="24">
        <f>IF(Tabell2[[#This Row],[Eldreandel]]&lt;=H$434,H$434,IF(Tabell2[[#This Row],[Eldreandel]]&gt;=H$435,H$435,Tabell2[[#This Row],[Eldreandel]]))</f>
        <v>0.16649058479895593</v>
      </c>
      <c r="S5" s="24">
        <f>IF(Tabell2[[#This Row],[Sysselsettingsvekst10]]&lt;=I$434,I$434,IF(Tabell2[[#This Row],[Sysselsettingsvekst10]]&gt;=I$435,I$435,Tabell2[[#This Row],[Sysselsettingsvekst10]]))</f>
        <v>-6.5473654310467255E-2</v>
      </c>
      <c r="T5" s="24">
        <f>IF(Tabell2[[#This Row],[Yrkesaktivandel]]&lt;=J$434,J$434,IF(Tabell2[[#This Row],[Yrkesaktivandel]]&gt;=J$435,J$435,Tabell2[[#This Row],[Yrkesaktivandel]]))</f>
        <v>0.79888426611272945</v>
      </c>
      <c r="U5" s="24">
        <f>IF(Tabell2[[#This Row],[Inntekt]]&lt;=K$434,K$434,IF(Tabell2[[#This Row],[Inntekt]]&gt;=K$435,K$435,Tabell2[[#This Row],[Inntekt]]))</f>
        <v>386300</v>
      </c>
      <c r="V5" s="7">
        <f>IF(Tabell2[[#This Row],[NIBR11-T]]&lt;=L$437,100,IF(Tabell2[[#This Row],[NIBR11-T]]&gt;=L$436,0,100*(L$436-Tabell2[[#This Row],[NIBR11-T]])/L$439))</f>
        <v>70</v>
      </c>
      <c r="W5" s="7">
        <f>(M$436-Tabell2[[#This Row],[ReisetidOslo-T]])*100/M$439</f>
        <v>100</v>
      </c>
      <c r="X5" s="7">
        <f>100-(N$436-Tabell2[[#This Row],[Beftettland-T]])*100/N$439</f>
        <v>100</v>
      </c>
      <c r="Y5" s="7">
        <f>100-(O$436-Tabell2[[#This Row],[Beftettotal-T]])*100/O$439</f>
        <v>100</v>
      </c>
      <c r="Z5" s="7">
        <f>100-(P$436-Tabell2[[#This Row],[Befvekst10-T]])*100/P$439</f>
        <v>86.21306412625708</v>
      </c>
      <c r="AA5" s="7">
        <f>100-(Q$436-Tabell2[[#This Row],[Kvinneandel-T]])*100/Q$439</f>
        <v>66.530096816299164</v>
      </c>
      <c r="AB5" s="7">
        <f>(R$436-Tabell2[[#This Row],[Eldreandel-T]])*100/R$439</f>
        <v>58.105327243279156</v>
      </c>
      <c r="AC5" s="7">
        <f>100-(S$436-Tabell2[[#This Row],[Sysselsettingsvekst10-T]])*100/S$439</f>
        <v>8.8429954046089279</v>
      </c>
      <c r="AD5" s="7">
        <f>100-(T$436-Tabell2[[#This Row],[Yrkesaktivandel-T]])*100/T$439</f>
        <v>0</v>
      </c>
      <c r="AE5" s="7">
        <f>100-(U$436-Tabell2[[#This Row],[Inntekt-T]])*100/U$439</f>
        <v>47.274573975849229</v>
      </c>
      <c r="AF5" s="7">
        <v>14</v>
      </c>
      <c r="AG5" s="7">
        <v>10</v>
      </c>
      <c r="AH5" s="7">
        <v>10</v>
      </c>
      <c r="AI5" s="7">
        <v>17.242612825251417</v>
      </c>
      <c r="AJ5" s="7">
        <v>3.3265048408149585</v>
      </c>
      <c r="AK5" s="7">
        <v>2.9052663621639581</v>
      </c>
      <c r="AL5" s="7">
        <v>0.88429954046089287</v>
      </c>
      <c r="AM5" s="7">
        <v>0</v>
      </c>
      <c r="AN5" s="7">
        <v>4.7274573975849234</v>
      </c>
      <c r="AO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63.08614096627614</v>
      </c>
    </row>
    <row r="6" spans="1:41" x14ac:dyDescent="0.3">
      <c r="A6" s="1" t="s">
        <v>3</v>
      </c>
      <c r="B6">
        <f>'Rådata-K'!N5</f>
        <v>2</v>
      </c>
      <c r="C6" s="7">
        <f>'Rådata-K'!M5</f>
        <v>59.5333333333</v>
      </c>
      <c r="D6" s="24">
        <f>'Rådata-K'!O5</f>
        <v>147.88229566722561</v>
      </c>
      <c r="E6" s="24">
        <f>'Rådata-K'!P5</f>
        <v>135.01407476912439</v>
      </c>
      <c r="F6" s="24">
        <f>'Rådata-K'!Q5</f>
        <v>9.1050583657587447E-2</v>
      </c>
      <c r="G6" s="24">
        <f>'Rådata-K'!R5</f>
        <v>0.1184937269102747</v>
      </c>
      <c r="H6" s="24">
        <f>'Rådata-K'!S5</f>
        <v>0.15882073228720875</v>
      </c>
      <c r="I6" s="24">
        <f>'Rådata-K'!T5</f>
        <v>0.23221786291253177</v>
      </c>
      <c r="J6" s="24">
        <f>'Rådata-K'!U5</f>
        <v>0.76766686691750718</v>
      </c>
      <c r="K6" s="24">
        <f>'Rådata-K'!L5</f>
        <v>361600</v>
      </c>
      <c r="L6" s="24">
        <f>Tabell2[[#This Row],[NIBR11]]</f>
        <v>2</v>
      </c>
      <c r="M6" s="24">
        <f>IF(Tabell2[[#This Row],[ReisetidOslo]]&lt;=C$434,C$434,IF(Tabell2[[#This Row],[ReisetidOslo]]&gt;=C$435,C$435,Tabell2[[#This Row],[ReisetidOslo]]))</f>
        <v>59.5333333333</v>
      </c>
      <c r="N6" s="24">
        <f>IF(Tabell2[[#This Row],[Beftettland]]&lt;=D$434,D$434,IF(Tabell2[[#This Row],[Beftettland]]&gt;=D$435,D$435,Tabell2[[#This Row],[Beftettland]]))</f>
        <v>136.59179999736304</v>
      </c>
      <c r="O6" s="24">
        <f>IF(Tabell2[[#This Row],[Beftettotal]]&lt;=E$434,E$434,IF(Tabell2[[#This Row],[Beftettotal]]&gt;=E$435,E$435,Tabell2[[#This Row],[Beftettotal]]))</f>
        <v>131.96212083018065</v>
      </c>
      <c r="P6" s="24">
        <f>IF(Tabell2[[#This Row],[Befvekst10]]&lt;=F$434,F$434,IF(Tabell2[[#This Row],[Befvekst10]]&gt;=F$435,F$435,Tabell2[[#This Row],[Befvekst10]]))</f>
        <v>9.1050583657587447E-2</v>
      </c>
      <c r="Q6" s="24">
        <f>IF(Tabell2[[#This Row],[Kvinneandel]]&lt;=G$434,G$434,IF(Tabell2[[#This Row],[Kvinneandel]]&gt;=G$435,G$435,Tabell2[[#This Row],[Kvinneandel]]))</f>
        <v>0.1184937269102747</v>
      </c>
      <c r="R6" s="24">
        <f>IF(Tabell2[[#This Row],[Eldreandel]]&lt;=H$434,H$434,IF(Tabell2[[#This Row],[Eldreandel]]&gt;=H$435,H$435,Tabell2[[#This Row],[Eldreandel]]))</f>
        <v>0.15882073228720875</v>
      </c>
      <c r="S6" s="24">
        <f>IF(Tabell2[[#This Row],[Sysselsettingsvekst10]]&lt;=I$434,I$434,IF(Tabell2[[#This Row],[Sysselsettingsvekst10]]&gt;=I$435,I$435,Tabell2[[#This Row],[Sysselsettingsvekst10]]))</f>
        <v>0.21384805931725109</v>
      </c>
      <c r="T6" s="24">
        <f>IF(Tabell2[[#This Row],[Yrkesaktivandel]]&lt;=J$434,J$434,IF(Tabell2[[#This Row],[Yrkesaktivandel]]&gt;=J$435,J$435,Tabell2[[#This Row],[Yrkesaktivandel]]))</f>
        <v>0.79888426611272945</v>
      </c>
      <c r="U6" s="24">
        <f>IF(Tabell2[[#This Row],[Inntekt]]&lt;=K$434,K$434,IF(Tabell2[[#This Row],[Inntekt]]&gt;=K$435,K$435,Tabell2[[#This Row],[Inntekt]]))</f>
        <v>361600</v>
      </c>
      <c r="V6" s="7">
        <f>IF(Tabell2[[#This Row],[NIBR11-T]]&lt;=L$437,100,IF(Tabell2[[#This Row],[NIBR11-T]]&gt;=L$436,0,100*(L$436-Tabell2[[#This Row],[NIBR11-T]])/L$439))</f>
        <v>90</v>
      </c>
      <c r="W6" s="7">
        <f>(M$436-Tabell2[[#This Row],[ReisetidOslo-T]])*100/M$439</f>
        <v>96.931627056687702</v>
      </c>
      <c r="X6" s="7">
        <f>100-(N$436-Tabell2[[#This Row],[Beftettland-T]])*100/N$439</f>
        <v>100</v>
      </c>
      <c r="Y6" s="7">
        <f>100-(O$436-Tabell2[[#This Row],[Beftettotal-T]])*100/O$439</f>
        <v>100</v>
      </c>
      <c r="Z6" s="7">
        <f>100-(P$436-Tabell2[[#This Row],[Befvekst10-T]])*100/P$439</f>
        <v>65.61720904121222</v>
      </c>
      <c r="AA6" s="7">
        <f>100-(Q$436-Tabell2[[#This Row],[Kvinneandel-T]])*100/Q$439</f>
        <v>76.110745033040843</v>
      </c>
      <c r="AB6" s="7">
        <f>(R$436-Tabell2[[#This Row],[Eldreandel-T]])*100/R$439</f>
        <v>66.3830526414975</v>
      </c>
      <c r="AC6" s="7">
        <f>100-(S$436-Tabell2[[#This Row],[Sysselsettingsvekst10-T]])*100/S$439</f>
        <v>100</v>
      </c>
      <c r="AD6" s="7">
        <f>100-(T$436-Tabell2[[#This Row],[Yrkesaktivandel-T]])*100/T$439</f>
        <v>0</v>
      </c>
      <c r="AE6" s="7">
        <f>100-(U$436-Tabell2[[#This Row],[Inntekt-T]])*100/U$439</f>
        <v>19.399616296129111</v>
      </c>
      <c r="AF6" s="7">
        <v>18</v>
      </c>
      <c r="AG6" s="7">
        <v>9.6931627056687706</v>
      </c>
      <c r="AH6" s="7">
        <v>10</v>
      </c>
      <c r="AI6" s="7">
        <v>13.123441808242445</v>
      </c>
      <c r="AJ6" s="7">
        <v>3.8055372516520425</v>
      </c>
      <c r="AK6" s="7">
        <v>3.319152632074875</v>
      </c>
      <c r="AL6" s="7">
        <v>10</v>
      </c>
      <c r="AM6" s="7">
        <v>0</v>
      </c>
      <c r="AN6" s="7">
        <v>1.9399616296129112</v>
      </c>
      <c r="AO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69.881256027251041</v>
      </c>
    </row>
    <row r="7" spans="1:41" x14ac:dyDescent="0.3">
      <c r="A7" s="1" t="s">
        <v>4</v>
      </c>
      <c r="B7">
        <f>'Rådata-K'!N6</f>
        <v>2</v>
      </c>
      <c r="C7" s="7">
        <f>'Rådata-K'!M6</f>
        <v>62.816666666700002</v>
      </c>
      <c r="D7" s="24">
        <f>'Rådata-K'!O6</f>
        <v>278.28798985057796</v>
      </c>
      <c r="E7" s="24">
        <f>'Rådata-K'!P6</f>
        <v>275.4150390625</v>
      </c>
      <c r="F7" s="24">
        <f>'Rådata-K'!Q6</f>
        <v>0.11549490754474445</v>
      </c>
      <c r="G7" s="24">
        <f>'Rådata-K'!R6</f>
        <v>0.11812529284384617</v>
      </c>
      <c r="H7" s="24">
        <f>'Rådata-K'!S6</f>
        <v>0.1568629934023073</v>
      </c>
      <c r="I7" s="24">
        <f>'Rådata-K'!T6</f>
        <v>-3.350263125688413E-2</v>
      </c>
      <c r="J7" s="24">
        <f>'Rådata-K'!U6</f>
        <v>0.78050153752869333</v>
      </c>
      <c r="K7" s="24">
        <f>'Rådata-K'!L6</f>
        <v>377500</v>
      </c>
      <c r="L7" s="24">
        <f>Tabell2[[#This Row],[NIBR11]]</f>
        <v>2</v>
      </c>
      <c r="M7" s="24">
        <f>IF(Tabell2[[#This Row],[ReisetidOslo]]&lt;=C$434,C$434,IF(Tabell2[[#This Row],[ReisetidOslo]]&gt;=C$435,C$435,Tabell2[[#This Row],[ReisetidOslo]]))</f>
        <v>62.816666666700002</v>
      </c>
      <c r="N7" s="24">
        <f>IF(Tabell2[[#This Row],[Beftettland]]&lt;=D$434,D$434,IF(Tabell2[[#This Row],[Beftettland]]&gt;=D$435,D$435,Tabell2[[#This Row],[Beftettland]]))</f>
        <v>136.59179999736304</v>
      </c>
      <c r="O7" s="24">
        <f>IF(Tabell2[[#This Row],[Beftettotal]]&lt;=E$434,E$434,IF(Tabell2[[#This Row],[Beftettotal]]&gt;=E$435,E$435,Tabell2[[#This Row],[Beftettotal]]))</f>
        <v>131.96212083018065</v>
      </c>
      <c r="P7" s="24">
        <f>IF(Tabell2[[#This Row],[Befvekst10]]&lt;=F$434,F$434,IF(Tabell2[[#This Row],[Befvekst10]]&gt;=F$435,F$435,Tabell2[[#This Row],[Befvekst10]]))</f>
        <v>0.11549490754474445</v>
      </c>
      <c r="Q7" s="24">
        <f>IF(Tabell2[[#This Row],[Kvinneandel]]&lt;=G$434,G$434,IF(Tabell2[[#This Row],[Kvinneandel]]&gt;=G$435,G$435,Tabell2[[#This Row],[Kvinneandel]]))</f>
        <v>0.11812529284384617</v>
      </c>
      <c r="R7" s="24">
        <f>IF(Tabell2[[#This Row],[Eldreandel]]&lt;=H$434,H$434,IF(Tabell2[[#This Row],[Eldreandel]]&gt;=H$435,H$435,Tabell2[[#This Row],[Eldreandel]]))</f>
        <v>0.1568629934023073</v>
      </c>
      <c r="S7" s="24">
        <f>IF(Tabell2[[#This Row],[Sysselsettingsvekst10]]&lt;=I$434,I$434,IF(Tabell2[[#This Row],[Sysselsettingsvekst10]]&gt;=I$435,I$435,Tabell2[[#This Row],[Sysselsettingsvekst10]]))</f>
        <v>-3.350263125688413E-2</v>
      </c>
      <c r="T7" s="24">
        <f>IF(Tabell2[[#This Row],[Yrkesaktivandel]]&lt;=J$434,J$434,IF(Tabell2[[#This Row],[Yrkesaktivandel]]&gt;=J$435,J$435,Tabell2[[#This Row],[Yrkesaktivandel]]))</f>
        <v>0.79888426611272945</v>
      </c>
      <c r="U7" s="24">
        <f>IF(Tabell2[[#This Row],[Inntekt]]&lt;=K$434,K$434,IF(Tabell2[[#This Row],[Inntekt]]&gt;=K$435,K$435,Tabell2[[#This Row],[Inntekt]]))</f>
        <v>377500</v>
      </c>
      <c r="V7" s="7">
        <f>IF(Tabell2[[#This Row],[NIBR11-T]]&lt;=L$437,100,IF(Tabell2[[#This Row],[NIBR11-T]]&gt;=L$436,0,100*(L$436-Tabell2[[#This Row],[NIBR11-T]])/L$439))</f>
        <v>90</v>
      </c>
      <c r="W7" s="7">
        <f>(M$436-Tabell2[[#This Row],[ReisetidOslo-T]])*100/M$439</f>
        <v>95.491042047517823</v>
      </c>
      <c r="X7" s="7">
        <f>100-(N$436-Tabell2[[#This Row],[Beftettland-T]])*100/N$439</f>
        <v>100</v>
      </c>
      <c r="Y7" s="7">
        <f>100-(O$436-Tabell2[[#This Row],[Beftettotal-T]])*100/O$439</f>
        <v>100</v>
      </c>
      <c r="Z7" s="7">
        <f>100-(P$436-Tabell2[[#This Row],[Befvekst10-T]])*100/P$439</f>
        <v>75.511319286599615</v>
      </c>
      <c r="AA7" s="7">
        <f>100-(Q$436-Tabell2[[#This Row],[Kvinneandel-T]])*100/Q$439</f>
        <v>75.142849113617302</v>
      </c>
      <c r="AB7" s="7">
        <f>(R$436-Tabell2[[#This Row],[Eldreandel-T]])*100/R$439</f>
        <v>68.495951796443137</v>
      </c>
      <c r="AC7" s="7">
        <f>100-(S$436-Tabell2[[#This Row],[Sysselsettingsvekst10-T]])*100/S$439</f>
        <v>19.276780367345978</v>
      </c>
      <c r="AD7" s="7">
        <f>100-(T$436-Tabell2[[#This Row],[Yrkesaktivandel-T]])*100/T$439</f>
        <v>0</v>
      </c>
      <c r="AE7" s="7">
        <f>100-(U$436-Tabell2[[#This Row],[Inntekt-T]])*100/U$439</f>
        <v>37.343414964450965</v>
      </c>
      <c r="AF7" s="7">
        <v>18</v>
      </c>
      <c r="AG7" s="7">
        <v>9.5491042047517833</v>
      </c>
      <c r="AH7" s="7">
        <v>10</v>
      </c>
      <c r="AI7" s="7">
        <v>15.102263857319924</v>
      </c>
      <c r="AJ7" s="7">
        <v>3.7571424556808655</v>
      </c>
      <c r="AK7" s="7">
        <v>3.4247975898221572</v>
      </c>
      <c r="AL7" s="7">
        <v>1.9276780367345978</v>
      </c>
      <c r="AM7" s="7">
        <v>0</v>
      </c>
      <c r="AN7" s="7">
        <v>3.7343414964450967</v>
      </c>
      <c r="AO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65.495327640754425</v>
      </c>
    </row>
    <row r="8" spans="1:41" x14ac:dyDescent="0.3">
      <c r="A8" s="1" t="s">
        <v>5</v>
      </c>
      <c r="B8">
        <f>'Rådata-K'!N7</f>
        <v>3</v>
      </c>
      <c r="C8" s="7">
        <f>'Rådata-K'!M7</f>
        <v>88.183333333299998</v>
      </c>
      <c r="D8" s="24">
        <f>'Rådata-K'!O7</f>
        <v>50.088829669109479</v>
      </c>
      <c r="E8" s="24">
        <f>'Rådata-K'!P7</f>
        <v>50.055481580115398</v>
      </c>
      <c r="F8" s="24">
        <f>'Rådata-K'!Q7</f>
        <v>0.18058099973828834</v>
      </c>
      <c r="G8" s="24">
        <f>'Rådata-K'!R7</f>
        <v>9.2662380846818881E-2</v>
      </c>
      <c r="H8" s="24">
        <f>'Rådata-K'!S7</f>
        <v>0.19042340944358235</v>
      </c>
      <c r="I8" s="24">
        <f>'Rådata-K'!T7</f>
        <v>0.17839922854387646</v>
      </c>
      <c r="J8" s="24">
        <f>'Rådata-K'!U7</f>
        <v>0.81545064377682408</v>
      </c>
      <c r="K8" s="24">
        <f>'Rådata-K'!L7</f>
        <v>415800</v>
      </c>
      <c r="L8" s="24">
        <f>Tabell2[[#This Row],[NIBR11]]</f>
        <v>3</v>
      </c>
      <c r="M8" s="24">
        <f>IF(Tabell2[[#This Row],[ReisetidOslo]]&lt;=C$434,C$434,IF(Tabell2[[#This Row],[ReisetidOslo]]&gt;=C$435,C$435,Tabell2[[#This Row],[ReisetidOslo]]))</f>
        <v>88.183333333299998</v>
      </c>
      <c r="N8" s="24">
        <f>IF(Tabell2[[#This Row],[Beftettland]]&lt;=D$434,D$434,IF(Tabell2[[#This Row],[Beftettland]]&gt;=D$435,D$435,Tabell2[[#This Row],[Beftettland]]))</f>
        <v>50.088829669109479</v>
      </c>
      <c r="O8" s="24">
        <f>IF(Tabell2[[#This Row],[Beftettotal]]&lt;=E$434,E$434,IF(Tabell2[[#This Row],[Beftettotal]]&gt;=E$435,E$435,Tabell2[[#This Row],[Beftettotal]]))</f>
        <v>50.055481580115398</v>
      </c>
      <c r="P8" s="24">
        <f>IF(Tabell2[[#This Row],[Befvekst10]]&lt;=F$434,F$434,IF(Tabell2[[#This Row],[Befvekst10]]&gt;=F$435,F$435,Tabell2[[#This Row],[Befvekst10]]))</f>
        <v>0.17599648151968622</v>
      </c>
      <c r="Q8" s="24">
        <f>IF(Tabell2[[#This Row],[Kvinneandel]]&lt;=G$434,G$434,IF(Tabell2[[#This Row],[Kvinneandel]]&gt;=G$435,G$435,Tabell2[[#This Row],[Kvinneandel]]))</f>
        <v>9.2662380846818881E-2</v>
      </c>
      <c r="R8" s="24">
        <f>IF(Tabell2[[#This Row],[Eldreandel]]&lt;=H$434,H$434,IF(Tabell2[[#This Row],[Eldreandel]]&gt;=H$435,H$435,Tabell2[[#This Row],[Eldreandel]]))</f>
        <v>0.19042340944358235</v>
      </c>
      <c r="S8" s="24">
        <f>IF(Tabell2[[#This Row],[Sysselsettingsvekst10]]&lt;=I$434,I$434,IF(Tabell2[[#This Row],[Sysselsettingsvekst10]]&gt;=I$435,I$435,Tabell2[[#This Row],[Sysselsettingsvekst10]]))</f>
        <v>0.17839922854387646</v>
      </c>
      <c r="T8" s="24">
        <f>IF(Tabell2[[#This Row],[Yrkesaktivandel]]&lt;=J$434,J$434,IF(Tabell2[[#This Row],[Yrkesaktivandel]]&gt;=J$435,J$435,Tabell2[[#This Row],[Yrkesaktivandel]]))</f>
        <v>0.81545064377682408</v>
      </c>
      <c r="U8" s="24">
        <f>IF(Tabell2[[#This Row],[Inntekt]]&lt;=K$434,K$434,IF(Tabell2[[#This Row],[Inntekt]]&gt;=K$435,K$435,Tabell2[[#This Row],[Inntekt]]))</f>
        <v>415800</v>
      </c>
      <c r="V8" s="7">
        <f>IF(Tabell2[[#This Row],[NIBR11-T]]&lt;=L$437,100,IF(Tabell2[[#This Row],[NIBR11-T]]&gt;=L$436,0,100*(L$436-Tabell2[[#This Row],[NIBR11-T]])/L$439))</f>
        <v>80</v>
      </c>
      <c r="W8" s="7">
        <f>(M$436-Tabell2[[#This Row],[ReisetidOslo-T]])*100/M$439</f>
        <v>84.361243144440351</v>
      </c>
      <c r="X8" s="7">
        <f>100-(N$436-Tabell2[[#This Row],[Beftettland-T]])*100/N$439</f>
        <v>36.013428988350221</v>
      </c>
      <c r="Y8" s="7">
        <f>100-(O$436-Tabell2[[#This Row],[Beftettotal-T]])*100/O$439</f>
        <v>37.305499550503413</v>
      </c>
      <c r="Z8" s="7">
        <f>100-(P$436-Tabell2[[#This Row],[Befvekst10-T]])*100/P$439</f>
        <v>100</v>
      </c>
      <c r="AA8" s="7">
        <f>100-(Q$436-Tabell2[[#This Row],[Kvinneandel-T]])*100/Q$439</f>
        <v>8.2504228581740762</v>
      </c>
      <c r="AB8" s="7">
        <f>(R$436-Tabell2[[#This Row],[Eldreandel-T]])*100/R$439</f>
        <v>32.275710557885979</v>
      </c>
      <c r="AC8" s="7">
        <f>100-(S$436-Tabell2[[#This Row],[Sysselsettingsvekst10-T]])*100/S$439</f>
        <v>88.431227963836022</v>
      </c>
      <c r="AD8" s="7">
        <f>100-(T$436-Tabell2[[#This Row],[Yrkesaktivandel-T]])*100/T$439</f>
        <v>11.684163826584665</v>
      </c>
      <c r="AE8" s="7">
        <f>100-(U$436-Tabell2[[#This Row],[Inntekt-T]])*100/U$439</f>
        <v>80.5665274799684</v>
      </c>
      <c r="AF8" s="7">
        <v>16</v>
      </c>
      <c r="AG8" s="7">
        <v>8.4361243144440348</v>
      </c>
      <c r="AH8" s="7">
        <v>3.7305499550503414</v>
      </c>
      <c r="AI8" s="7">
        <v>20</v>
      </c>
      <c r="AJ8" s="7">
        <v>0.41252114290870384</v>
      </c>
      <c r="AK8" s="7">
        <v>1.613785527894299</v>
      </c>
      <c r="AL8" s="7">
        <v>8.8431227963836019</v>
      </c>
      <c r="AM8" s="7">
        <v>1.1684163826584666</v>
      </c>
      <c r="AN8" s="7">
        <v>8.0566527479968411</v>
      </c>
      <c r="AO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68.261172867336285</v>
      </c>
    </row>
    <row r="9" spans="1:41" x14ac:dyDescent="0.3">
      <c r="A9" s="1" t="s">
        <v>6</v>
      </c>
      <c r="B9">
        <f>'Rådata-K'!N8</f>
        <v>5</v>
      </c>
      <c r="C9" s="7">
        <f>'Rådata-K'!M8</f>
        <v>90.233333333299996</v>
      </c>
      <c r="D9" s="24">
        <f>'Rådata-K'!O8</f>
        <v>4.9799595644308869</v>
      </c>
      <c r="E9" s="24">
        <f>'Rådata-K'!P8</f>
        <v>4.3975318695774739</v>
      </c>
      <c r="F9" s="24">
        <f>'Rådata-K'!Q8</f>
        <v>-3.5714285714285698E-2</v>
      </c>
      <c r="G9" s="24">
        <f>'Rådata-K'!R8</f>
        <v>9.2592592592592587E-2</v>
      </c>
      <c r="H9" s="24">
        <f>'Rådata-K'!S8</f>
        <v>0.18233618233618235</v>
      </c>
      <c r="I9" s="24">
        <f>'Rådata-K'!T8</f>
        <v>-5.5710306406685506E-3</v>
      </c>
      <c r="J9" s="24">
        <f>'Rådata-K'!U8</f>
        <v>0.83712121212121215</v>
      </c>
      <c r="K9" s="24">
        <f>'Rådata-K'!L8</f>
        <v>371100</v>
      </c>
      <c r="L9" s="24">
        <f>Tabell2[[#This Row],[NIBR11]]</f>
        <v>5</v>
      </c>
      <c r="M9" s="24">
        <f>IF(Tabell2[[#This Row],[ReisetidOslo]]&lt;=C$434,C$434,IF(Tabell2[[#This Row],[ReisetidOslo]]&gt;=C$435,C$435,Tabell2[[#This Row],[ReisetidOslo]]))</f>
        <v>90.233333333299996</v>
      </c>
      <c r="N9" s="24">
        <f>IF(Tabell2[[#This Row],[Beftettland]]&lt;=D$434,D$434,IF(Tabell2[[#This Row],[Beftettland]]&gt;=D$435,D$435,Tabell2[[#This Row],[Beftettland]]))</f>
        <v>4.9799595644308869</v>
      </c>
      <c r="O9" s="24">
        <f>IF(Tabell2[[#This Row],[Beftettotal]]&lt;=E$434,E$434,IF(Tabell2[[#This Row],[Beftettotal]]&gt;=E$435,E$435,Tabell2[[#This Row],[Beftettotal]]))</f>
        <v>4.3975318695774739</v>
      </c>
      <c r="P9" s="24">
        <f>IF(Tabell2[[#This Row],[Befvekst10]]&lt;=F$434,F$434,IF(Tabell2[[#This Row],[Befvekst10]]&gt;=F$435,F$435,Tabell2[[#This Row],[Befvekst10]]))</f>
        <v>-3.5714285714285698E-2</v>
      </c>
      <c r="Q9" s="24">
        <f>IF(Tabell2[[#This Row],[Kvinneandel]]&lt;=G$434,G$434,IF(Tabell2[[#This Row],[Kvinneandel]]&gt;=G$435,G$435,Tabell2[[#This Row],[Kvinneandel]]))</f>
        <v>9.2592592592592587E-2</v>
      </c>
      <c r="R9" s="24">
        <f>IF(Tabell2[[#This Row],[Eldreandel]]&lt;=H$434,H$434,IF(Tabell2[[#This Row],[Eldreandel]]&gt;=H$435,H$435,Tabell2[[#This Row],[Eldreandel]]))</f>
        <v>0.18233618233618235</v>
      </c>
      <c r="S9" s="24">
        <f>IF(Tabell2[[#This Row],[Sysselsettingsvekst10]]&lt;=I$434,I$434,IF(Tabell2[[#This Row],[Sysselsettingsvekst10]]&gt;=I$435,I$435,Tabell2[[#This Row],[Sysselsettingsvekst10]]))</f>
        <v>-5.5710306406685506E-3</v>
      </c>
      <c r="T9" s="24">
        <f>IF(Tabell2[[#This Row],[Yrkesaktivandel]]&lt;=J$434,J$434,IF(Tabell2[[#This Row],[Yrkesaktivandel]]&gt;=J$435,J$435,Tabell2[[#This Row],[Yrkesaktivandel]]))</f>
        <v>0.83712121212121215</v>
      </c>
      <c r="U9" s="24">
        <f>IF(Tabell2[[#This Row],[Inntekt]]&lt;=K$434,K$434,IF(Tabell2[[#This Row],[Inntekt]]&gt;=K$435,K$435,Tabell2[[#This Row],[Inntekt]]))</f>
        <v>371100</v>
      </c>
      <c r="V9" s="7">
        <f>IF(Tabell2[[#This Row],[NIBR11-T]]&lt;=L$437,100,IF(Tabell2[[#This Row],[NIBR11-T]]&gt;=L$436,0,100*(L$436-Tabell2[[#This Row],[NIBR11-T]])/L$439))</f>
        <v>60</v>
      </c>
      <c r="W9" s="7">
        <f>(M$436-Tabell2[[#This Row],[ReisetidOslo-T]])*100/M$439</f>
        <v>83.461791590509932</v>
      </c>
      <c r="X9" s="7">
        <f>100-(N$436-Tabell2[[#This Row],[Beftettland-T]])*100/N$439</f>
        <v>2.6462288881062648</v>
      </c>
      <c r="Y9" s="7">
        <f>100-(O$436-Tabell2[[#This Row],[Beftettotal-T]])*100/O$439</f>
        <v>2.3571440220700879</v>
      </c>
      <c r="Z9" s="7">
        <f>100-(P$436-Tabell2[[#This Row],[Befvekst10-T]])*100/P$439</f>
        <v>14.307727191873312</v>
      </c>
      <c r="AA9" s="7">
        <f>100-(Q$436-Tabell2[[#This Row],[Kvinneandel-T]])*100/Q$439</f>
        <v>8.0670853966192624</v>
      </c>
      <c r="AB9" s="7">
        <f>(R$436-Tabell2[[#This Row],[Eldreandel-T]])*100/R$439</f>
        <v>41.003889505988745</v>
      </c>
      <c r="AC9" s="7">
        <f>100-(S$436-Tabell2[[#This Row],[Sysselsettingsvekst10-T]])*100/S$439</f>
        <v>28.392294563004</v>
      </c>
      <c r="AD9" s="7">
        <f>100-(T$436-Tabell2[[#This Row],[Yrkesaktivandel-T]])*100/T$439</f>
        <v>26.968281808502425</v>
      </c>
      <c r="AE9" s="7">
        <f>100-(U$436-Tabell2[[#This Row],[Inntekt-T]])*100/U$439</f>
        <v>30.120753865252226</v>
      </c>
      <c r="AF9" s="7">
        <v>12</v>
      </c>
      <c r="AG9" s="7">
        <v>8.3461791590509939</v>
      </c>
      <c r="AH9" s="7">
        <v>0.23571440220700879</v>
      </c>
      <c r="AI9" s="7">
        <v>2.8615454383746624</v>
      </c>
      <c r="AJ9" s="7">
        <v>0.40335426983096312</v>
      </c>
      <c r="AK9" s="7">
        <v>2.0501944752994374</v>
      </c>
      <c r="AL9" s="7">
        <v>2.8392294563004001</v>
      </c>
      <c r="AM9" s="7">
        <v>2.6968281808502428</v>
      </c>
      <c r="AN9" s="7">
        <v>3.0120753865252228</v>
      </c>
      <c r="AO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34.445120768438933</v>
      </c>
    </row>
    <row r="10" spans="1:41" x14ac:dyDescent="0.3">
      <c r="A10" s="1" t="s">
        <v>7</v>
      </c>
      <c r="B10">
        <f>'Rådata-K'!N9</f>
        <v>5</v>
      </c>
      <c r="C10" s="7">
        <f>'Rådata-K'!M9</f>
        <v>65.05</v>
      </c>
      <c r="D10" s="24">
        <f>'Rådata-K'!O9</f>
        <v>9.819121447028424</v>
      </c>
      <c r="E10" s="24">
        <f>'Rådata-K'!P9</f>
        <v>8.7430370549769929</v>
      </c>
      <c r="F10" s="24">
        <f>'Rådata-K'!Q9</f>
        <v>2.9957203994293913E-2</v>
      </c>
      <c r="G10" s="24">
        <f>'Rådata-K'!R9</f>
        <v>9.5567867036011084E-2</v>
      </c>
      <c r="H10" s="24">
        <f>'Rådata-K'!S9</f>
        <v>0.2116343490304709</v>
      </c>
      <c r="I10" s="24">
        <f>'Rådata-K'!T9</f>
        <v>-7.348242811501593E-2</v>
      </c>
      <c r="J10" s="24">
        <f>'Rådata-K'!U9</f>
        <v>0.82090309487569757</v>
      </c>
      <c r="K10" s="24">
        <f>'Rådata-K'!L9</f>
        <v>364500</v>
      </c>
      <c r="L10" s="24">
        <f>Tabell2[[#This Row],[NIBR11]]</f>
        <v>5</v>
      </c>
      <c r="M10" s="24">
        <f>IF(Tabell2[[#This Row],[ReisetidOslo]]&lt;=C$434,C$434,IF(Tabell2[[#This Row],[ReisetidOslo]]&gt;=C$435,C$435,Tabell2[[#This Row],[ReisetidOslo]]))</f>
        <v>65.05</v>
      </c>
      <c r="N10" s="24">
        <f>IF(Tabell2[[#This Row],[Beftettland]]&lt;=D$434,D$434,IF(Tabell2[[#This Row],[Beftettland]]&gt;=D$435,D$435,Tabell2[[#This Row],[Beftettland]]))</f>
        <v>9.819121447028424</v>
      </c>
      <c r="O10" s="24">
        <f>IF(Tabell2[[#This Row],[Beftettotal]]&lt;=E$434,E$434,IF(Tabell2[[#This Row],[Beftettotal]]&gt;=E$435,E$435,Tabell2[[#This Row],[Beftettotal]]))</f>
        <v>8.7430370549769929</v>
      </c>
      <c r="P10" s="24">
        <f>IF(Tabell2[[#This Row],[Befvekst10]]&lt;=F$434,F$434,IF(Tabell2[[#This Row],[Befvekst10]]&gt;=F$435,F$435,Tabell2[[#This Row],[Befvekst10]]))</f>
        <v>2.9957203994293913E-2</v>
      </c>
      <c r="Q10" s="24">
        <f>IF(Tabell2[[#This Row],[Kvinneandel]]&lt;=G$434,G$434,IF(Tabell2[[#This Row],[Kvinneandel]]&gt;=G$435,G$435,Tabell2[[#This Row],[Kvinneandel]]))</f>
        <v>9.5567867036011084E-2</v>
      </c>
      <c r="R10" s="24">
        <f>IF(Tabell2[[#This Row],[Eldreandel]]&lt;=H$434,H$434,IF(Tabell2[[#This Row],[Eldreandel]]&gt;=H$435,H$435,Tabell2[[#This Row],[Eldreandel]]))</f>
        <v>0.2116343490304709</v>
      </c>
      <c r="S10" s="24">
        <f>IF(Tabell2[[#This Row],[Sysselsettingsvekst10]]&lt;=I$434,I$434,IF(Tabell2[[#This Row],[Sysselsettingsvekst10]]&gt;=I$435,I$435,Tabell2[[#This Row],[Sysselsettingsvekst10]]))</f>
        <v>-7.348242811501593E-2</v>
      </c>
      <c r="T10" s="24">
        <f>IF(Tabell2[[#This Row],[Yrkesaktivandel]]&lt;=J$434,J$434,IF(Tabell2[[#This Row],[Yrkesaktivandel]]&gt;=J$435,J$435,Tabell2[[#This Row],[Yrkesaktivandel]]))</f>
        <v>0.82090309487569757</v>
      </c>
      <c r="U10" s="24">
        <f>IF(Tabell2[[#This Row],[Inntekt]]&lt;=K$434,K$434,IF(Tabell2[[#This Row],[Inntekt]]&gt;=K$435,K$435,Tabell2[[#This Row],[Inntekt]]))</f>
        <v>364500</v>
      </c>
      <c r="V10" s="7">
        <f>IF(Tabell2[[#This Row],[NIBR11-T]]&lt;=L$437,100,IF(Tabell2[[#This Row],[NIBR11-T]]&gt;=L$436,0,100*(L$436-Tabell2[[#This Row],[NIBR11-T]])/L$439))</f>
        <v>60</v>
      </c>
      <c r="W10" s="7">
        <f>(M$436-Tabell2[[#This Row],[ReisetidOslo-T]])*100/M$439</f>
        <v>94.511151736746442</v>
      </c>
      <c r="X10" s="7">
        <f>100-(N$436-Tabell2[[#This Row],[Beftettland-T]])*100/N$439</f>
        <v>6.2257750500784681</v>
      </c>
      <c r="Y10" s="7">
        <f>100-(O$436-Tabell2[[#This Row],[Beftettotal-T]])*100/O$439</f>
        <v>5.6833612773959743</v>
      </c>
      <c r="Z10" s="7">
        <f>100-(P$436-Tabell2[[#This Row],[Befvekst10-T]])*100/P$439</f>
        <v>40.888988434974941</v>
      </c>
      <c r="AA10" s="7">
        <f>100-(Q$436-Tabell2[[#This Row],[Kvinneandel-T]])*100/Q$439</f>
        <v>15.883289855846542</v>
      </c>
      <c r="AB10" s="7">
        <f>(R$436-Tabell2[[#This Row],[Eldreandel-T]])*100/R$439</f>
        <v>9.383701478239999</v>
      </c>
      <c r="AC10" s="7">
        <f>100-(S$436-Tabell2[[#This Row],[Sysselsettingsvekst10-T]])*100/S$439</f>
        <v>6.2293216553575093</v>
      </c>
      <c r="AD10" s="7">
        <f>100-(T$436-Tabell2[[#This Row],[Yrkesaktivandel-T]])*100/T$439</f>
        <v>15.529743903740354</v>
      </c>
      <c r="AE10" s="7">
        <f>100-(U$436-Tabell2[[#This Row],[Inntekt-T]])*100/U$439</f>
        <v>22.672384606703531</v>
      </c>
      <c r="AF10" s="7">
        <v>12</v>
      </c>
      <c r="AG10" s="7">
        <v>9.4511151736746442</v>
      </c>
      <c r="AH10" s="7">
        <v>0.56833612773959741</v>
      </c>
      <c r="AI10" s="7">
        <v>8.1777976869949889</v>
      </c>
      <c r="AJ10" s="7">
        <v>0.79416449279232715</v>
      </c>
      <c r="AK10" s="7">
        <v>0.46918507391199998</v>
      </c>
      <c r="AL10" s="7">
        <v>0.62293216553575093</v>
      </c>
      <c r="AM10" s="7">
        <v>1.5529743903740354</v>
      </c>
      <c r="AN10" s="7">
        <v>2.2672384606703533</v>
      </c>
      <c r="AO1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35.903743571693695</v>
      </c>
    </row>
    <row r="11" spans="1:41" x14ac:dyDescent="0.3">
      <c r="A11" s="1" t="s">
        <v>8</v>
      </c>
      <c r="B11">
        <f>'Rådata-K'!N10</f>
        <v>1</v>
      </c>
      <c r="C11" s="7">
        <f>'Rådata-K'!M10</f>
        <v>68.150000000000006</v>
      </c>
      <c r="D11" s="24">
        <f>'Rådata-K'!O10</f>
        <v>4.2293410535590663</v>
      </c>
      <c r="E11" s="24">
        <f>'Rådata-K'!P10</f>
        <v>3.669324014415202</v>
      </c>
      <c r="F11" s="24">
        <f>'Rådata-K'!Q10</f>
        <v>2.9850746268655914E-3</v>
      </c>
      <c r="G11" s="24">
        <f>'Rådata-K'!R10</f>
        <v>8.9285714285714288E-2</v>
      </c>
      <c r="H11" s="24">
        <f>'Rådata-K'!S10</f>
        <v>0.21130952380952381</v>
      </c>
      <c r="I11" s="24">
        <f>'Rådata-K'!T10</f>
        <v>0.29444444444444451</v>
      </c>
      <c r="J11" s="24">
        <f>'Rådata-K'!U10</f>
        <v>0.88654353562005273</v>
      </c>
      <c r="K11" s="24">
        <f>'Rådata-K'!L10</f>
        <v>373200</v>
      </c>
      <c r="L11" s="24">
        <f>Tabell2[[#This Row],[NIBR11]]</f>
        <v>1</v>
      </c>
      <c r="M11" s="24">
        <f>IF(Tabell2[[#This Row],[ReisetidOslo]]&lt;=C$434,C$434,IF(Tabell2[[#This Row],[ReisetidOslo]]&gt;=C$435,C$435,Tabell2[[#This Row],[ReisetidOslo]]))</f>
        <v>68.150000000000006</v>
      </c>
      <c r="N11" s="24">
        <f>IF(Tabell2[[#This Row],[Beftettland]]&lt;=D$434,D$434,IF(Tabell2[[#This Row],[Beftettland]]&gt;=D$435,D$435,Tabell2[[#This Row],[Beftettland]]))</f>
        <v>4.2293410535590663</v>
      </c>
      <c r="O11" s="24">
        <f>IF(Tabell2[[#This Row],[Beftettotal]]&lt;=E$434,E$434,IF(Tabell2[[#This Row],[Beftettotal]]&gt;=E$435,E$435,Tabell2[[#This Row],[Beftettotal]]))</f>
        <v>3.669324014415202</v>
      </c>
      <c r="P11" s="24">
        <f>IF(Tabell2[[#This Row],[Befvekst10]]&lt;=F$434,F$434,IF(Tabell2[[#This Row],[Befvekst10]]&gt;=F$435,F$435,Tabell2[[#This Row],[Befvekst10]]))</f>
        <v>2.9850746268655914E-3</v>
      </c>
      <c r="Q11" s="24">
        <f>IF(Tabell2[[#This Row],[Kvinneandel]]&lt;=G$434,G$434,IF(Tabell2[[#This Row],[Kvinneandel]]&gt;=G$435,G$435,Tabell2[[#This Row],[Kvinneandel]]))</f>
        <v>8.9521819157910881E-2</v>
      </c>
      <c r="R11" s="24">
        <f>IF(Tabell2[[#This Row],[Eldreandel]]&lt;=H$434,H$434,IF(Tabell2[[#This Row],[Eldreandel]]&gt;=H$435,H$435,Tabell2[[#This Row],[Eldreandel]]))</f>
        <v>0.21130952380952381</v>
      </c>
      <c r="S11" s="24">
        <f>IF(Tabell2[[#This Row],[Sysselsettingsvekst10]]&lt;=I$434,I$434,IF(Tabell2[[#This Row],[Sysselsettingsvekst10]]&gt;=I$435,I$435,Tabell2[[#This Row],[Sysselsettingsvekst10]]))</f>
        <v>0.21384805931725109</v>
      </c>
      <c r="T11" s="24">
        <f>IF(Tabell2[[#This Row],[Yrkesaktivandel]]&lt;=J$434,J$434,IF(Tabell2[[#This Row],[Yrkesaktivandel]]&gt;=J$435,J$435,Tabell2[[#This Row],[Yrkesaktivandel]]))</f>
        <v>0.88654353562005273</v>
      </c>
      <c r="U11" s="24">
        <f>IF(Tabell2[[#This Row],[Inntekt]]&lt;=K$434,K$434,IF(Tabell2[[#This Row],[Inntekt]]&gt;=K$435,K$435,Tabell2[[#This Row],[Inntekt]]))</f>
        <v>373200</v>
      </c>
      <c r="V11" s="7">
        <f>IF(Tabell2[[#This Row],[NIBR11-T]]&lt;=L$437,100,IF(Tabell2[[#This Row],[NIBR11-T]]&gt;=L$436,0,100*(L$436-Tabell2[[#This Row],[NIBR11-T]])/L$439))</f>
        <v>100</v>
      </c>
      <c r="W11" s="7">
        <f>(M$436-Tabell2[[#This Row],[ReisetidOslo-T]])*100/M$439</f>
        <v>93.151005484461393</v>
      </c>
      <c r="X11" s="7">
        <f>100-(N$436-Tabell2[[#This Row],[Beftettland-T]])*100/N$439</f>
        <v>2.0909935653618419</v>
      </c>
      <c r="Y11" s="7">
        <f>100-(O$436-Tabell2[[#This Row],[Beftettotal-T]])*100/O$439</f>
        <v>1.7997456460555128</v>
      </c>
      <c r="Z11" s="7">
        <f>100-(P$436-Tabell2[[#This Row],[Befvekst10-T]])*100/P$439</f>
        <v>29.971720984824799</v>
      </c>
      <c r="AA11" s="7">
        <f>100-(Q$436-Tabell2[[#This Row],[Kvinneandel-T]])*100/Q$439</f>
        <v>0</v>
      </c>
      <c r="AB11" s="7">
        <f>(R$436-Tabell2[[#This Row],[Eldreandel-T]])*100/R$439</f>
        <v>9.7342706681034876</v>
      </c>
      <c r="AC11" s="7">
        <f>100-(S$436-Tabell2[[#This Row],[Sysselsettingsvekst10-T]])*100/S$439</f>
        <v>100</v>
      </c>
      <c r="AD11" s="7">
        <f>100-(T$436-Tabell2[[#This Row],[Yrkesaktivandel-T]])*100/T$439</f>
        <v>61.825541262539922</v>
      </c>
      <c r="AE11" s="7">
        <f>100-(U$436-Tabell2[[#This Row],[Inntekt-T]])*100/U$439</f>
        <v>32.490689538426821</v>
      </c>
      <c r="AF11" s="7">
        <v>20</v>
      </c>
      <c r="AG11" s="7">
        <v>9.3151005484461393</v>
      </c>
      <c r="AH11" s="7">
        <v>0.17997456460555128</v>
      </c>
      <c r="AI11" s="7">
        <v>5.9943441969649598</v>
      </c>
      <c r="AJ11" s="7">
        <v>0</v>
      </c>
      <c r="AK11" s="7">
        <v>0.48671353340517443</v>
      </c>
      <c r="AL11" s="7">
        <v>10</v>
      </c>
      <c r="AM11" s="7">
        <v>6.1825541262539927</v>
      </c>
      <c r="AN11" s="7">
        <v>3.2490689538426825</v>
      </c>
      <c r="AO1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55.407755923518494</v>
      </c>
    </row>
    <row r="12" spans="1:41" x14ac:dyDescent="0.3">
      <c r="A12" s="1" t="s">
        <v>9</v>
      </c>
      <c r="B12">
        <f>'Rådata-K'!N11</f>
        <v>5</v>
      </c>
      <c r="C12" s="7">
        <f>'Rådata-K'!M11</f>
        <v>54.3</v>
      </c>
      <c r="D12" s="24">
        <f>'Rådata-K'!O11</f>
        <v>28.46867007672634</v>
      </c>
      <c r="E12" s="24">
        <f>'Rådata-K'!P11</f>
        <v>26.133528980190754</v>
      </c>
      <c r="F12" s="24">
        <f>'Rådata-K'!Q11</f>
        <v>6.5828845002992242E-2</v>
      </c>
      <c r="G12" s="24">
        <f>'Rådata-K'!R11</f>
        <v>0.10162829870859068</v>
      </c>
      <c r="H12" s="24">
        <f>'Rådata-K'!S11</f>
        <v>0.16657308628111547</v>
      </c>
      <c r="I12" s="24">
        <f>'Rådata-K'!T11</f>
        <v>0.11298606016140855</v>
      </c>
      <c r="J12" s="24">
        <f>'Rådata-K'!U11</f>
        <v>0.84563106796116505</v>
      </c>
      <c r="K12" s="24">
        <f>'Rådata-K'!L11</f>
        <v>374100</v>
      </c>
      <c r="L12" s="24">
        <f>Tabell2[[#This Row],[NIBR11]]</f>
        <v>5</v>
      </c>
      <c r="M12" s="24">
        <f>IF(Tabell2[[#This Row],[ReisetidOslo]]&lt;=C$434,C$434,IF(Tabell2[[#This Row],[ReisetidOslo]]&gt;=C$435,C$435,Tabell2[[#This Row],[ReisetidOslo]]))</f>
        <v>54.3</v>
      </c>
      <c r="N12" s="24">
        <f>IF(Tabell2[[#This Row],[Beftettland]]&lt;=D$434,D$434,IF(Tabell2[[#This Row],[Beftettland]]&gt;=D$435,D$435,Tabell2[[#This Row],[Beftettland]]))</f>
        <v>28.46867007672634</v>
      </c>
      <c r="O12" s="24">
        <f>IF(Tabell2[[#This Row],[Beftettotal]]&lt;=E$434,E$434,IF(Tabell2[[#This Row],[Beftettotal]]&gt;=E$435,E$435,Tabell2[[#This Row],[Beftettotal]]))</f>
        <v>26.133528980190754</v>
      </c>
      <c r="P12" s="24">
        <f>IF(Tabell2[[#This Row],[Befvekst10]]&lt;=F$434,F$434,IF(Tabell2[[#This Row],[Befvekst10]]&gt;=F$435,F$435,Tabell2[[#This Row],[Befvekst10]]))</f>
        <v>6.5828845002992242E-2</v>
      </c>
      <c r="Q12" s="24">
        <f>IF(Tabell2[[#This Row],[Kvinneandel]]&lt;=G$434,G$434,IF(Tabell2[[#This Row],[Kvinneandel]]&gt;=G$435,G$435,Tabell2[[#This Row],[Kvinneandel]]))</f>
        <v>0.10162829870859068</v>
      </c>
      <c r="R12" s="24">
        <f>IF(Tabell2[[#This Row],[Eldreandel]]&lt;=H$434,H$434,IF(Tabell2[[#This Row],[Eldreandel]]&gt;=H$435,H$435,Tabell2[[#This Row],[Eldreandel]]))</f>
        <v>0.16657308628111547</v>
      </c>
      <c r="S12" s="24">
        <f>IF(Tabell2[[#This Row],[Sysselsettingsvekst10]]&lt;=I$434,I$434,IF(Tabell2[[#This Row],[Sysselsettingsvekst10]]&gt;=I$435,I$435,Tabell2[[#This Row],[Sysselsettingsvekst10]]))</f>
        <v>0.11298606016140855</v>
      </c>
      <c r="T12" s="24">
        <f>IF(Tabell2[[#This Row],[Yrkesaktivandel]]&lt;=J$434,J$434,IF(Tabell2[[#This Row],[Yrkesaktivandel]]&gt;=J$435,J$435,Tabell2[[#This Row],[Yrkesaktivandel]]))</f>
        <v>0.84563106796116505</v>
      </c>
      <c r="U12" s="24">
        <f>IF(Tabell2[[#This Row],[Inntekt]]&lt;=K$434,K$434,IF(Tabell2[[#This Row],[Inntekt]]&gt;=K$435,K$435,Tabell2[[#This Row],[Inntekt]]))</f>
        <v>374100</v>
      </c>
      <c r="V12" s="7">
        <f>IF(Tabell2[[#This Row],[NIBR11-T]]&lt;=L$437,100,IF(Tabell2[[#This Row],[NIBR11-T]]&gt;=L$436,0,100*(L$436-Tabell2[[#This Row],[NIBR11-T]])/L$439))</f>
        <v>60</v>
      </c>
      <c r="W12" s="7">
        <f>(M$436-Tabell2[[#This Row],[ReisetidOslo-T]])*100/M$439</f>
        <v>99.227787934186537</v>
      </c>
      <c r="X12" s="7">
        <f>100-(N$436-Tabell2[[#This Row],[Beftettland-T]])*100/N$439</f>
        <v>20.020915993806511</v>
      </c>
      <c r="Y12" s="7">
        <f>100-(O$436-Tabell2[[#This Row],[Beftettotal-T]])*100/O$439</f>
        <v>18.994714469334099</v>
      </c>
      <c r="Z12" s="7">
        <f>100-(P$436-Tabell2[[#This Row],[Befvekst10-T]])*100/P$439</f>
        <v>55.408431576926333</v>
      </c>
      <c r="AA12" s="7">
        <f>100-(Q$436-Tabell2[[#This Row],[Kvinneandel-T]])*100/Q$439</f>
        <v>31.804366706032098</v>
      </c>
      <c r="AB12" s="7">
        <f>(R$436-Tabell2[[#This Row],[Eldreandel-T]])*100/R$439</f>
        <v>58.016287119858696</v>
      </c>
      <c r="AC12" s="7">
        <f>100-(S$436-Tabell2[[#This Row],[Sysselsettingsvekst10-T]])*100/S$439</f>
        <v>67.083555370121871</v>
      </c>
      <c r="AD12" s="7">
        <f>100-(T$436-Tabell2[[#This Row],[Yrkesaktivandel-T]])*100/T$439</f>
        <v>32.970230562220038</v>
      </c>
      <c r="AE12" s="7">
        <f>100-(U$436-Tabell2[[#This Row],[Inntekt-T]])*100/U$439</f>
        <v>33.506376255501635</v>
      </c>
      <c r="AF12" s="7">
        <v>12</v>
      </c>
      <c r="AG12" s="7">
        <v>9.9227787934186544</v>
      </c>
      <c r="AH12" s="7">
        <v>1.89947144693341</v>
      </c>
      <c r="AI12" s="7">
        <v>11.081686315385268</v>
      </c>
      <c r="AJ12" s="7">
        <v>1.5902183353016051</v>
      </c>
      <c r="AK12" s="7">
        <v>2.9008143559929351</v>
      </c>
      <c r="AL12" s="7">
        <v>6.7083555370121877</v>
      </c>
      <c r="AM12" s="7">
        <v>3.2970230562220042</v>
      </c>
      <c r="AN12" s="7">
        <v>3.3506376255501635</v>
      </c>
      <c r="AO1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52.750985465816228</v>
      </c>
    </row>
    <row r="13" spans="1:41" x14ac:dyDescent="0.3">
      <c r="A13" s="1" t="s">
        <v>10</v>
      </c>
      <c r="B13">
        <f>'Rådata-K'!N12</f>
        <v>1</v>
      </c>
      <c r="C13" s="7">
        <f>'Rådata-K'!M12</f>
        <v>39.75</v>
      </c>
      <c r="D13" s="24">
        <f>'Rådata-K'!O12</f>
        <v>42.972729997003299</v>
      </c>
      <c r="E13" s="24">
        <f>'Rådata-K'!P12</f>
        <v>40.385833978736883</v>
      </c>
      <c r="F13" s="24">
        <f>'Rådata-K'!Q12</f>
        <v>0.1812191103789127</v>
      </c>
      <c r="G13" s="24">
        <f>'Rådata-K'!R12</f>
        <v>0.11593444909344491</v>
      </c>
      <c r="H13" s="24">
        <f>'Rådata-K'!S12</f>
        <v>0.15289400278940027</v>
      </c>
      <c r="I13" s="24">
        <f>'Rådata-K'!T12</f>
        <v>0.14193925233644866</v>
      </c>
      <c r="J13" s="24">
        <f>'Rådata-K'!U12</f>
        <v>0.84475868429142331</v>
      </c>
      <c r="K13" s="24">
        <f>'Rådata-K'!L12</f>
        <v>393100</v>
      </c>
      <c r="L13" s="24">
        <f>Tabell2[[#This Row],[NIBR11]]</f>
        <v>1</v>
      </c>
      <c r="M13" s="24">
        <f>IF(Tabell2[[#This Row],[ReisetidOslo]]&lt;=C$434,C$434,IF(Tabell2[[#This Row],[ReisetidOslo]]&gt;=C$435,C$435,Tabell2[[#This Row],[ReisetidOslo]]))</f>
        <v>52.54</v>
      </c>
      <c r="N13" s="24">
        <f>IF(Tabell2[[#This Row],[Beftettland]]&lt;=D$434,D$434,IF(Tabell2[[#This Row],[Beftettland]]&gt;=D$435,D$435,Tabell2[[#This Row],[Beftettland]]))</f>
        <v>42.972729997003299</v>
      </c>
      <c r="O13" s="24">
        <f>IF(Tabell2[[#This Row],[Beftettotal]]&lt;=E$434,E$434,IF(Tabell2[[#This Row],[Beftettotal]]&gt;=E$435,E$435,Tabell2[[#This Row],[Beftettotal]]))</f>
        <v>40.385833978736883</v>
      </c>
      <c r="P13" s="24">
        <f>IF(Tabell2[[#This Row],[Befvekst10]]&lt;=F$434,F$434,IF(Tabell2[[#This Row],[Befvekst10]]&gt;=F$435,F$435,Tabell2[[#This Row],[Befvekst10]]))</f>
        <v>0.17599648151968622</v>
      </c>
      <c r="Q13" s="24">
        <f>IF(Tabell2[[#This Row],[Kvinneandel]]&lt;=G$434,G$434,IF(Tabell2[[#This Row],[Kvinneandel]]&gt;=G$435,G$435,Tabell2[[#This Row],[Kvinneandel]]))</f>
        <v>0.11593444909344491</v>
      </c>
      <c r="R13" s="24">
        <f>IF(Tabell2[[#This Row],[Eldreandel]]&lt;=H$434,H$434,IF(Tabell2[[#This Row],[Eldreandel]]&gt;=H$435,H$435,Tabell2[[#This Row],[Eldreandel]]))</f>
        <v>0.15289400278940027</v>
      </c>
      <c r="S13" s="24">
        <f>IF(Tabell2[[#This Row],[Sysselsettingsvekst10]]&lt;=I$434,I$434,IF(Tabell2[[#This Row],[Sysselsettingsvekst10]]&gt;=I$435,I$435,Tabell2[[#This Row],[Sysselsettingsvekst10]]))</f>
        <v>0.14193925233644866</v>
      </c>
      <c r="T13" s="24">
        <f>IF(Tabell2[[#This Row],[Yrkesaktivandel]]&lt;=J$434,J$434,IF(Tabell2[[#This Row],[Yrkesaktivandel]]&gt;=J$435,J$435,Tabell2[[#This Row],[Yrkesaktivandel]]))</f>
        <v>0.84475868429142331</v>
      </c>
      <c r="U13" s="24">
        <f>IF(Tabell2[[#This Row],[Inntekt]]&lt;=K$434,K$434,IF(Tabell2[[#This Row],[Inntekt]]&gt;=K$435,K$435,Tabell2[[#This Row],[Inntekt]]))</f>
        <v>393100</v>
      </c>
      <c r="V13" s="7">
        <f>IF(Tabell2[[#This Row],[NIBR11-T]]&lt;=L$437,100,IF(Tabell2[[#This Row],[NIBR11-T]]&gt;=L$436,0,100*(L$436-Tabell2[[#This Row],[NIBR11-T]])/L$439))</f>
        <v>100</v>
      </c>
      <c r="W13" s="7">
        <f>(M$436-Tabell2[[#This Row],[ReisetidOslo-T]])*100/M$439</f>
        <v>100</v>
      </c>
      <c r="X13" s="7">
        <f>100-(N$436-Tabell2[[#This Row],[Beftettland-T]])*100/N$439</f>
        <v>30.74962341881502</v>
      </c>
      <c r="Y13" s="7">
        <f>100-(O$436-Tabell2[[#This Row],[Beftettotal-T]])*100/O$439</f>
        <v>29.90397836196783</v>
      </c>
      <c r="Z13" s="7">
        <f>100-(P$436-Tabell2[[#This Row],[Befvekst10-T]])*100/P$439</f>
        <v>100</v>
      </c>
      <c r="AA13" s="7">
        <f>100-(Q$436-Tabell2[[#This Row],[Kvinneandel-T]])*100/Q$439</f>
        <v>69.387385872491379</v>
      </c>
      <c r="AB13" s="7">
        <f>(R$436-Tabell2[[#This Row],[Eldreandel-T]])*100/R$439</f>
        <v>72.77950410092761</v>
      </c>
      <c r="AC13" s="7">
        <f>100-(S$436-Tabell2[[#This Row],[Sysselsettingsvekst10-T]])*100/S$439</f>
        <v>76.532467299929891</v>
      </c>
      <c r="AD13" s="7">
        <f>100-(T$436-Tabell2[[#This Row],[Yrkesaktivandel-T]])*100/T$439</f>
        <v>32.354943749159403</v>
      </c>
      <c r="AE13" s="7">
        <f>100-(U$436-Tabell2[[#This Row],[Inntekt-T]])*100/U$439</f>
        <v>54.94865139374788</v>
      </c>
      <c r="AF13" s="7">
        <v>20</v>
      </c>
      <c r="AG13" s="7">
        <v>10</v>
      </c>
      <c r="AH13" s="7">
        <v>2.9903978361967831</v>
      </c>
      <c r="AI13" s="7">
        <v>20</v>
      </c>
      <c r="AJ13" s="7">
        <v>3.469369293624569</v>
      </c>
      <c r="AK13" s="7">
        <v>3.6389752050463806</v>
      </c>
      <c r="AL13" s="7">
        <v>7.6532467299929898</v>
      </c>
      <c r="AM13" s="7">
        <v>3.2354943749159406</v>
      </c>
      <c r="AN13" s="7">
        <v>5.494865139374788</v>
      </c>
      <c r="AO1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76.482348579151449</v>
      </c>
    </row>
    <row r="14" spans="1:41" x14ac:dyDescent="0.3">
      <c r="A14" s="1" t="s">
        <v>11</v>
      </c>
      <c r="B14">
        <f>'Rådata-K'!N13</f>
        <v>5</v>
      </c>
      <c r="C14" s="7">
        <f>'Rådata-K'!M13</f>
        <v>43.583333333299997</v>
      </c>
      <c r="D14" s="24">
        <f>'Rådata-K'!O13</f>
        <v>236.34024519449071</v>
      </c>
      <c r="E14" s="24">
        <f>'Rådata-K'!P13</f>
        <v>225.81344902386121</v>
      </c>
      <c r="F14" s="24">
        <f>'Rådata-K'!Q13</f>
        <v>0.10088832487309651</v>
      </c>
      <c r="G14" s="24">
        <f>'Rådata-K'!R13</f>
        <v>0.11828370156900417</v>
      </c>
      <c r="H14" s="24">
        <f>'Rådata-K'!S13</f>
        <v>0.15088056356067883</v>
      </c>
      <c r="I14" s="24">
        <f>'Rådata-K'!T13</f>
        <v>-2.5043782837127826E-2</v>
      </c>
      <c r="J14" s="24">
        <f>'Rådata-K'!U13</f>
        <v>0.77477876106194687</v>
      </c>
      <c r="K14" s="24">
        <f>'Rådata-K'!L13</f>
        <v>371900</v>
      </c>
      <c r="L14" s="24">
        <f>Tabell2[[#This Row],[NIBR11]]</f>
        <v>5</v>
      </c>
      <c r="M14" s="24">
        <f>IF(Tabell2[[#This Row],[ReisetidOslo]]&lt;=C$434,C$434,IF(Tabell2[[#This Row],[ReisetidOslo]]&gt;=C$435,C$435,Tabell2[[#This Row],[ReisetidOslo]]))</f>
        <v>52.54</v>
      </c>
      <c r="N14" s="24">
        <f>IF(Tabell2[[#This Row],[Beftettland]]&lt;=D$434,D$434,IF(Tabell2[[#This Row],[Beftettland]]&gt;=D$435,D$435,Tabell2[[#This Row],[Beftettland]]))</f>
        <v>136.59179999736304</v>
      </c>
      <c r="O14" s="24">
        <f>IF(Tabell2[[#This Row],[Beftettotal]]&lt;=E$434,E$434,IF(Tabell2[[#This Row],[Beftettotal]]&gt;=E$435,E$435,Tabell2[[#This Row],[Beftettotal]]))</f>
        <v>131.96212083018065</v>
      </c>
      <c r="P14" s="24">
        <f>IF(Tabell2[[#This Row],[Befvekst10]]&lt;=F$434,F$434,IF(Tabell2[[#This Row],[Befvekst10]]&gt;=F$435,F$435,Tabell2[[#This Row],[Befvekst10]]))</f>
        <v>0.10088832487309651</v>
      </c>
      <c r="Q14" s="24">
        <f>IF(Tabell2[[#This Row],[Kvinneandel]]&lt;=G$434,G$434,IF(Tabell2[[#This Row],[Kvinneandel]]&gt;=G$435,G$435,Tabell2[[#This Row],[Kvinneandel]]))</f>
        <v>0.11828370156900417</v>
      </c>
      <c r="R14" s="24">
        <f>IF(Tabell2[[#This Row],[Eldreandel]]&lt;=H$434,H$434,IF(Tabell2[[#This Row],[Eldreandel]]&gt;=H$435,H$435,Tabell2[[#This Row],[Eldreandel]]))</f>
        <v>0.15088056356067883</v>
      </c>
      <c r="S14" s="24">
        <f>IF(Tabell2[[#This Row],[Sysselsettingsvekst10]]&lt;=I$434,I$434,IF(Tabell2[[#This Row],[Sysselsettingsvekst10]]&gt;=I$435,I$435,Tabell2[[#This Row],[Sysselsettingsvekst10]]))</f>
        <v>-2.5043782837127826E-2</v>
      </c>
      <c r="T14" s="24">
        <f>IF(Tabell2[[#This Row],[Yrkesaktivandel]]&lt;=J$434,J$434,IF(Tabell2[[#This Row],[Yrkesaktivandel]]&gt;=J$435,J$435,Tabell2[[#This Row],[Yrkesaktivandel]]))</f>
        <v>0.79888426611272945</v>
      </c>
      <c r="U14" s="24">
        <f>IF(Tabell2[[#This Row],[Inntekt]]&lt;=K$434,K$434,IF(Tabell2[[#This Row],[Inntekt]]&gt;=K$435,K$435,Tabell2[[#This Row],[Inntekt]]))</f>
        <v>371900</v>
      </c>
      <c r="V14" s="7">
        <f>IF(Tabell2[[#This Row],[NIBR11-T]]&lt;=L$437,100,IF(Tabell2[[#This Row],[NIBR11-T]]&gt;=L$436,0,100*(L$436-Tabell2[[#This Row],[NIBR11-T]])/L$439))</f>
        <v>60</v>
      </c>
      <c r="W14" s="7">
        <f>(M$436-Tabell2[[#This Row],[ReisetidOslo-T]])*100/M$439</f>
        <v>100</v>
      </c>
      <c r="X14" s="7">
        <f>100-(N$436-Tabell2[[#This Row],[Beftettland-T]])*100/N$439</f>
        <v>100</v>
      </c>
      <c r="Y14" s="7">
        <f>100-(O$436-Tabell2[[#This Row],[Beftettotal-T]])*100/O$439</f>
        <v>100</v>
      </c>
      <c r="Z14" s="7">
        <f>100-(P$436-Tabell2[[#This Row],[Befvekst10-T]])*100/P$439</f>
        <v>69.599143522246408</v>
      </c>
      <c r="AA14" s="7">
        <f>100-(Q$436-Tabell2[[#This Row],[Kvinneandel-T]])*100/Q$439</f>
        <v>75.558997273226353</v>
      </c>
      <c r="AB14" s="7">
        <f>(R$436-Tabell2[[#This Row],[Eldreandel-T]])*100/R$439</f>
        <v>74.952518121188078</v>
      </c>
      <c r="AC14" s="7">
        <f>100-(S$436-Tabell2[[#This Row],[Sysselsettingsvekst10-T]])*100/S$439</f>
        <v>22.037336552745671</v>
      </c>
      <c r="AD14" s="7">
        <f>100-(T$436-Tabell2[[#This Row],[Yrkesaktivandel-T]])*100/T$439</f>
        <v>0</v>
      </c>
      <c r="AE14" s="7">
        <f>100-(U$436-Tabell2[[#This Row],[Inntekt-T]])*100/U$439</f>
        <v>31.023586502652066</v>
      </c>
      <c r="AF14" s="7">
        <v>12</v>
      </c>
      <c r="AG14" s="7">
        <v>10</v>
      </c>
      <c r="AH14" s="7">
        <v>10</v>
      </c>
      <c r="AI14" s="7">
        <v>13.919828704449282</v>
      </c>
      <c r="AJ14" s="7">
        <v>3.777949863661318</v>
      </c>
      <c r="AK14" s="7">
        <v>3.7476259060594042</v>
      </c>
      <c r="AL14" s="7">
        <v>2.2037336552745672</v>
      </c>
      <c r="AM14" s="7">
        <v>0</v>
      </c>
      <c r="AN14" s="7">
        <v>3.1023586502652067</v>
      </c>
      <c r="AO1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58.751496779709782</v>
      </c>
    </row>
    <row r="15" spans="1:41" x14ac:dyDescent="0.3">
      <c r="A15" s="1" t="s">
        <v>12</v>
      </c>
      <c r="B15">
        <f>'Rådata-K'!N14</f>
        <v>5</v>
      </c>
      <c r="C15" s="7">
        <f>'Rådata-K'!M14</f>
        <v>51.433333333299998</v>
      </c>
      <c r="D15" s="24">
        <f>'Rådata-K'!O14</f>
        <v>49.81640146878825</v>
      </c>
      <c r="E15" s="24">
        <f>'Rådata-K'!P14</f>
        <v>48.306557585519904</v>
      </c>
      <c r="F15" s="24">
        <f>'Rådata-K'!Q14</f>
        <v>0.10996396220901916</v>
      </c>
      <c r="G15" s="24">
        <f>'Rådata-K'!R14</f>
        <v>0.11223236223236223</v>
      </c>
      <c r="H15" s="24">
        <f>'Rådata-K'!S14</f>
        <v>0.16084591084591085</v>
      </c>
      <c r="I15" s="24">
        <f>'Rådata-K'!T14</f>
        <v>2.4291497975708509E-2</v>
      </c>
      <c r="J15" s="24">
        <f>'Rådata-K'!U14</f>
        <v>0.80152905198776758</v>
      </c>
      <c r="K15" s="24">
        <f>'Rådata-K'!L14</f>
        <v>359100</v>
      </c>
      <c r="L15" s="24">
        <f>Tabell2[[#This Row],[NIBR11]]</f>
        <v>5</v>
      </c>
      <c r="M15" s="24">
        <f>IF(Tabell2[[#This Row],[ReisetidOslo]]&lt;=C$434,C$434,IF(Tabell2[[#This Row],[ReisetidOslo]]&gt;=C$435,C$435,Tabell2[[#This Row],[ReisetidOslo]]))</f>
        <v>52.54</v>
      </c>
      <c r="N15" s="24">
        <f>IF(Tabell2[[#This Row],[Beftettland]]&lt;=D$434,D$434,IF(Tabell2[[#This Row],[Beftettland]]&gt;=D$435,D$435,Tabell2[[#This Row],[Beftettland]]))</f>
        <v>49.81640146878825</v>
      </c>
      <c r="O15" s="24">
        <f>IF(Tabell2[[#This Row],[Beftettotal]]&lt;=E$434,E$434,IF(Tabell2[[#This Row],[Beftettotal]]&gt;=E$435,E$435,Tabell2[[#This Row],[Beftettotal]]))</f>
        <v>48.306557585519904</v>
      </c>
      <c r="P15" s="24">
        <f>IF(Tabell2[[#This Row],[Befvekst10]]&lt;=F$434,F$434,IF(Tabell2[[#This Row],[Befvekst10]]&gt;=F$435,F$435,Tabell2[[#This Row],[Befvekst10]]))</f>
        <v>0.10996396220901916</v>
      </c>
      <c r="Q15" s="24">
        <f>IF(Tabell2[[#This Row],[Kvinneandel]]&lt;=G$434,G$434,IF(Tabell2[[#This Row],[Kvinneandel]]&gt;=G$435,G$435,Tabell2[[#This Row],[Kvinneandel]]))</f>
        <v>0.11223236223236223</v>
      </c>
      <c r="R15" s="24">
        <f>IF(Tabell2[[#This Row],[Eldreandel]]&lt;=H$434,H$434,IF(Tabell2[[#This Row],[Eldreandel]]&gt;=H$435,H$435,Tabell2[[#This Row],[Eldreandel]]))</f>
        <v>0.16084591084591085</v>
      </c>
      <c r="S15" s="24">
        <f>IF(Tabell2[[#This Row],[Sysselsettingsvekst10]]&lt;=I$434,I$434,IF(Tabell2[[#This Row],[Sysselsettingsvekst10]]&gt;=I$435,I$435,Tabell2[[#This Row],[Sysselsettingsvekst10]]))</f>
        <v>2.4291497975708509E-2</v>
      </c>
      <c r="T15" s="24">
        <f>IF(Tabell2[[#This Row],[Yrkesaktivandel]]&lt;=J$434,J$434,IF(Tabell2[[#This Row],[Yrkesaktivandel]]&gt;=J$435,J$435,Tabell2[[#This Row],[Yrkesaktivandel]]))</f>
        <v>0.80152905198776758</v>
      </c>
      <c r="U15" s="24">
        <f>IF(Tabell2[[#This Row],[Inntekt]]&lt;=K$434,K$434,IF(Tabell2[[#This Row],[Inntekt]]&gt;=K$435,K$435,Tabell2[[#This Row],[Inntekt]]))</f>
        <v>359100</v>
      </c>
      <c r="V15" s="7">
        <f>IF(Tabell2[[#This Row],[NIBR11-T]]&lt;=L$437,100,IF(Tabell2[[#This Row],[NIBR11-T]]&gt;=L$436,0,100*(L$436-Tabell2[[#This Row],[NIBR11-T]])/L$439))</f>
        <v>60</v>
      </c>
      <c r="W15" s="7">
        <f>(M$436-Tabell2[[#This Row],[ReisetidOslo-T]])*100/M$439</f>
        <v>100</v>
      </c>
      <c r="X15" s="7">
        <f>100-(N$436-Tabell2[[#This Row],[Beftettland-T]])*100/N$439</f>
        <v>35.811912828624358</v>
      </c>
      <c r="Y15" s="7">
        <f>100-(O$436-Tabell2[[#This Row],[Beftettotal-T]])*100/O$439</f>
        <v>35.966805676975753</v>
      </c>
      <c r="Z15" s="7">
        <f>100-(P$436-Tabell2[[#This Row],[Befvekst10-T]])*100/P$439</f>
        <v>73.272608035451896</v>
      </c>
      <c r="AA15" s="7">
        <f>100-(Q$436-Tabell2[[#This Row],[Kvinneandel-T]])*100/Q$439</f>
        <v>59.661806473908456</v>
      </c>
      <c r="AB15" s="7">
        <f>(R$436-Tabell2[[#This Row],[Eldreandel-T]])*100/R$439</f>
        <v>64.197368892609234</v>
      </c>
      <c r="AC15" s="7">
        <f>100-(S$436-Tabell2[[#This Row],[Sysselsettingsvekst10-T]])*100/S$439</f>
        <v>38.137969623343984</v>
      </c>
      <c r="AD15" s="7">
        <f>100-(T$436-Tabell2[[#This Row],[Yrkesaktivandel-T]])*100/T$439</f>
        <v>1.8653511393235078</v>
      </c>
      <c r="AE15" s="7">
        <f>100-(U$436-Tabell2[[#This Row],[Inntekt-T]])*100/U$439</f>
        <v>16.578264304254603</v>
      </c>
      <c r="AF15" s="7">
        <v>12</v>
      </c>
      <c r="AG15" s="7">
        <v>10</v>
      </c>
      <c r="AH15" s="7">
        <v>3.5966805676975753</v>
      </c>
      <c r="AI15" s="7">
        <v>14.654521607090381</v>
      </c>
      <c r="AJ15" s="7">
        <v>2.9830903236954232</v>
      </c>
      <c r="AK15" s="7">
        <v>3.2098684446304619</v>
      </c>
      <c r="AL15" s="7">
        <v>3.8137969623343988</v>
      </c>
      <c r="AM15" s="7">
        <v>0.18653511393235078</v>
      </c>
      <c r="AN15" s="7">
        <v>1.6578264304254604</v>
      </c>
      <c r="AO1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52.102319449806046</v>
      </c>
    </row>
    <row r="16" spans="1:41" x14ac:dyDescent="0.3">
      <c r="A16" s="1" t="s">
        <v>13</v>
      </c>
      <c r="B16">
        <f>'Rådata-K'!N15</f>
        <v>5</v>
      </c>
      <c r="C16" s="7">
        <f>'Rådata-K'!M15</f>
        <v>52.05</v>
      </c>
      <c r="D16" s="24">
        <f>'Rådata-K'!O15</f>
        <v>40.219260533104041</v>
      </c>
      <c r="E16" s="24">
        <f>'Rådata-K'!P15</f>
        <v>36.972631162928565</v>
      </c>
      <c r="F16" s="24">
        <f>'Rådata-K'!Q15</f>
        <v>0.10058823529411764</v>
      </c>
      <c r="G16" s="24">
        <f>'Rådata-K'!R15</f>
        <v>0.11651523249599145</v>
      </c>
      <c r="H16" s="24">
        <f>'Rådata-K'!S15</f>
        <v>0.1373597006948156</v>
      </c>
      <c r="I16" s="24">
        <f>'Rådata-K'!T15</f>
        <v>2.24839400428265E-2</v>
      </c>
      <c r="J16" s="24">
        <f>'Rådata-K'!U15</f>
        <v>0.85960018596001864</v>
      </c>
      <c r="K16" s="24">
        <f>'Rådata-K'!L15</f>
        <v>382800</v>
      </c>
      <c r="L16" s="24">
        <f>Tabell2[[#This Row],[NIBR11]]</f>
        <v>5</v>
      </c>
      <c r="M16" s="24">
        <f>IF(Tabell2[[#This Row],[ReisetidOslo]]&lt;=C$434,C$434,IF(Tabell2[[#This Row],[ReisetidOslo]]&gt;=C$435,C$435,Tabell2[[#This Row],[ReisetidOslo]]))</f>
        <v>52.54</v>
      </c>
      <c r="N16" s="24">
        <f>IF(Tabell2[[#This Row],[Beftettland]]&lt;=D$434,D$434,IF(Tabell2[[#This Row],[Beftettland]]&gt;=D$435,D$435,Tabell2[[#This Row],[Beftettland]]))</f>
        <v>40.219260533104041</v>
      </c>
      <c r="O16" s="24">
        <f>IF(Tabell2[[#This Row],[Beftettotal]]&lt;=E$434,E$434,IF(Tabell2[[#This Row],[Beftettotal]]&gt;=E$435,E$435,Tabell2[[#This Row],[Beftettotal]]))</f>
        <v>36.972631162928565</v>
      </c>
      <c r="P16" s="24">
        <f>IF(Tabell2[[#This Row],[Befvekst10]]&lt;=F$434,F$434,IF(Tabell2[[#This Row],[Befvekst10]]&gt;=F$435,F$435,Tabell2[[#This Row],[Befvekst10]]))</f>
        <v>0.10058823529411764</v>
      </c>
      <c r="Q16" s="24">
        <f>IF(Tabell2[[#This Row],[Kvinneandel]]&lt;=G$434,G$434,IF(Tabell2[[#This Row],[Kvinneandel]]&gt;=G$435,G$435,Tabell2[[#This Row],[Kvinneandel]]))</f>
        <v>0.11651523249599145</v>
      </c>
      <c r="R16" s="24">
        <f>IF(Tabell2[[#This Row],[Eldreandel]]&lt;=H$434,H$434,IF(Tabell2[[#This Row],[Eldreandel]]&gt;=H$435,H$435,Tabell2[[#This Row],[Eldreandel]]))</f>
        <v>0.1373597006948156</v>
      </c>
      <c r="S16" s="24">
        <f>IF(Tabell2[[#This Row],[Sysselsettingsvekst10]]&lt;=I$434,I$434,IF(Tabell2[[#This Row],[Sysselsettingsvekst10]]&gt;=I$435,I$435,Tabell2[[#This Row],[Sysselsettingsvekst10]]))</f>
        <v>2.24839400428265E-2</v>
      </c>
      <c r="T16" s="24">
        <f>IF(Tabell2[[#This Row],[Yrkesaktivandel]]&lt;=J$434,J$434,IF(Tabell2[[#This Row],[Yrkesaktivandel]]&gt;=J$435,J$435,Tabell2[[#This Row],[Yrkesaktivandel]]))</f>
        <v>0.85960018596001864</v>
      </c>
      <c r="U16" s="24">
        <f>IF(Tabell2[[#This Row],[Inntekt]]&lt;=K$434,K$434,IF(Tabell2[[#This Row],[Inntekt]]&gt;=K$435,K$435,Tabell2[[#This Row],[Inntekt]]))</f>
        <v>382800</v>
      </c>
      <c r="V16" s="7">
        <f>IF(Tabell2[[#This Row],[NIBR11-T]]&lt;=L$437,100,IF(Tabell2[[#This Row],[NIBR11-T]]&gt;=L$436,0,100*(L$436-Tabell2[[#This Row],[NIBR11-T]])/L$439))</f>
        <v>60</v>
      </c>
      <c r="W16" s="7">
        <f>(M$436-Tabell2[[#This Row],[ReisetidOslo-T]])*100/M$439</f>
        <v>100</v>
      </c>
      <c r="X16" s="7">
        <f>100-(N$436-Tabell2[[#This Row],[Beftettland-T]])*100/N$439</f>
        <v>28.712871747610791</v>
      </c>
      <c r="Y16" s="7">
        <f>100-(O$436-Tabell2[[#This Row],[Beftettotal-T]])*100/O$439</f>
        <v>27.291381294999937</v>
      </c>
      <c r="Z16" s="7">
        <f>100-(P$436-Tabell2[[#This Row],[Befvekst10-T]])*100/P$439</f>
        <v>69.477678948645789</v>
      </c>
      <c r="AA16" s="7">
        <f>100-(Q$436-Tabell2[[#This Row],[Kvinneandel-T]])*100/Q$439</f>
        <v>70.913134809995682</v>
      </c>
      <c r="AB16" s="7">
        <f>(R$436-Tabell2[[#This Row],[Eldreandel-T]])*100/R$439</f>
        <v>89.544974726991512</v>
      </c>
      <c r="AC16" s="7">
        <f>100-(S$436-Tabell2[[#This Row],[Sysselsettingsvekst10-T]])*100/S$439</f>
        <v>37.54807074060345</v>
      </c>
      <c r="AD16" s="7">
        <f>100-(T$436-Tabell2[[#This Row],[Yrkesaktivandel-T]])*100/T$439</f>
        <v>42.82256319165473</v>
      </c>
      <c r="AE16" s="7">
        <f>100-(U$436-Tabell2[[#This Row],[Inntekt-T]])*100/U$439</f>
        <v>43.324681187224918</v>
      </c>
      <c r="AF16" s="7">
        <v>12</v>
      </c>
      <c r="AG16" s="7">
        <v>10</v>
      </c>
      <c r="AH16" s="7">
        <v>2.7291381294999937</v>
      </c>
      <c r="AI16" s="7">
        <v>13.895535789729159</v>
      </c>
      <c r="AJ16" s="7">
        <v>3.5456567404997843</v>
      </c>
      <c r="AK16" s="7">
        <v>4.4772487363495754</v>
      </c>
      <c r="AL16" s="7">
        <v>3.754807074060345</v>
      </c>
      <c r="AM16" s="7">
        <v>4.282256319165473</v>
      </c>
      <c r="AN16" s="7">
        <v>4.3324681187224918</v>
      </c>
      <c r="AO1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59.017110908026822</v>
      </c>
    </row>
    <row r="17" spans="1:41" x14ac:dyDescent="0.3">
      <c r="A17" s="1" t="s">
        <v>14</v>
      </c>
      <c r="B17">
        <f>'Rådata-K'!N16</f>
        <v>2</v>
      </c>
      <c r="C17" s="7">
        <f>'Rådata-K'!M16</f>
        <v>60.766666666699997</v>
      </c>
      <c r="D17" s="24">
        <f>'Rådata-K'!O16</f>
        <v>19.217877094972067</v>
      </c>
      <c r="E17" s="24">
        <f>'Rådata-K'!P16</f>
        <v>18.596305583032368</v>
      </c>
      <c r="F17" s="24">
        <f>'Rådata-K'!Q16</f>
        <v>9.7474884604941581E-2</v>
      </c>
      <c r="G17" s="24">
        <f>'Rådata-K'!R16</f>
        <v>0.11108362196932212</v>
      </c>
      <c r="H17" s="24">
        <f>'Rådata-K'!S16</f>
        <v>0.15982187036120732</v>
      </c>
      <c r="I17" s="24">
        <f>'Rådata-K'!T16</f>
        <v>-4.2258064516129012E-2</v>
      </c>
      <c r="J17" s="24">
        <f>'Rådata-K'!U16</f>
        <v>0.82915224913494812</v>
      </c>
      <c r="K17" s="24">
        <f>'Rådata-K'!L16</f>
        <v>372600</v>
      </c>
      <c r="L17" s="24">
        <f>Tabell2[[#This Row],[NIBR11]]</f>
        <v>2</v>
      </c>
      <c r="M17" s="24">
        <f>IF(Tabell2[[#This Row],[ReisetidOslo]]&lt;=C$434,C$434,IF(Tabell2[[#This Row],[ReisetidOslo]]&gt;=C$435,C$435,Tabell2[[#This Row],[ReisetidOslo]]))</f>
        <v>60.766666666699997</v>
      </c>
      <c r="N17" s="24">
        <f>IF(Tabell2[[#This Row],[Beftettland]]&lt;=D$434,D$434,IF(Tabell2[[#This Row],[Beftettland]]&gt;=D$435,D$435,Tabell2[[#This Row],[Beftettland]]))</f>
        <v>19.217877094972067</v>
      </c>
      <c r="O17" s="24">
        <f>IF(Tabell2[[#This Row],[Beftettotal]]&lt;=E$434,E$434,IF(Tabell2[[#This Row],[Beftettotal]]&gt;=E$435,E$435,Tabell2[[#This Row],[Beftettotal]]))</f>
        <v>18.596305583032368</v>
      </c>
      <c r="P17" s="24">
        <f>IF(Tabell2[[#This Row],[Befvekst10]]&lt;=F$434,F$434,IF(Tabell2[[#This Row],[Befvekst10]]&gt;=F$435,F$435,Tabell2[[#This Row],[Befvekst10]]))</f>
        <v>9.7474884604941581E-2</v>
      </c>
      <c r="Q17" s="24">
        <f>IF(Tabell2[[#This Row],[Kvinneandel]]&lt;=G$434,G$434,IF(Tabell2[[#This Row],[Kvinneandel]]&gt;=G$435,G$435,Tabell2[[#This Row],[Kvinneandel]]))</f>
        <v>0.11108362196932212</v>
      </c>
      <c r="R17" s="24">
        <f>IF(Tabell2[[#This Row],[Eldreandel]]&lt;=H$434,H$434,IF(Tabell2[[#This Row],[Eldreandel]]&gt;=H$435,H$435,Tabell2[[#This Row],[Eldreandel]]))</f>
        <v>0.15982187036120732</v>
      </c>
      <c r="S17" s="24">
        <f>IF(Tabell2[[#This Row],[Sysselsettingsvekst10]]&lt;=I$434,I$434,IF(Tabell2[[#This Row],[Sysselsettingsvekst10]]&gt;=I$435,I$435,Tabell2[[#This Row],[Sysselsettingsvekst10]]))</f>
        <v>-4.2258064516129012E-2</v>
      </c>
      <c r="T17" s="24">
        <f>IF(Tabell2[[#This Row],[Yrkesaktivandel]]&lt;=J$434,J$434,IF(Tabell2[[#This Row],[Yrkesaktivandel]]&gt;=J$435,J$435,Tabell2[[#This Row],[Yrkesaktivandel]]))</f>
        <v>0.82915224913494812</v>
      </c>
      <c r="U17" s="24">
        <f>IF(Tabell2[[#This Row],[Inntekt]]&lt;=K$434,K$434,IF(Tabell2[[#This Row],[Inntekt]]&gt;=K$435,K$435,Tabell2[[#This Row],[Inntekt]]))</f>
        <v>372600</v>
      </c>
      <c r="V17" s="7">
        <f>IF(Tabell2[[#This Row],[NIBR11-T]]&lt;=L$437,100,IF(Tabell2[[#This Row],[NIBR11-T]]&gt;=L$436,0,100*(L$436-Tabell2[[#This Row],[NIBR11-T]])/L$439))</f>
        <v>90</v>
      </c>
      <c r="W17" s="7">
        <f>(M$436-Tabell2[[#This Row],[ReisetidOslo-T]])*100/M$439</f>
        <v>96.39049360144827</v>
      </c>
      <c r="X17" s="7">
        <f>100-(N$436-Tabell2[[#This Row],[Beftettland-T]])*100/N$439</f>
        <v>13.178069791012518</v>
      </c>
      <c r="Y17" s="7">
        <f>100-(O$436-Tabell2[[#This Row],[Beftettotal-T]])*100/O$439</f>
        <v>13.225433004636173</v>
      </c>
      <c r="Z17" s="7">
        <f>100-(P$436-Tabell2[[#This Row],[Befvekst10-T]])*100/P$439</f>
        <v>68.217515849291459</v>
      </c>
      <c r="AA17" s="7">
        <f>100-(Q$436-Tabell2[[#This Row],[Kvinneandel-T]])*100/Q$439</f>
        <v>56.644004608157971</v>
      </c>
      <c r="AB17" s="7">
        <f>(R$436-Tabell2[[#This Row],[Eldreandel-T]])*100/R$439</f>
        <v>65.302569535783434</v>
      </c>
      <c r="AC17" s="7">
        <f>100-(S$436-Tabell2[[#This Row],[Sysselsettingsvekst10-T]])*100/S$439</f>
        <v>16.419433333769618</v>
      </c>
      <c r="AD17" s="7">
        <f>100-(T$436-Tabell2[[#This Row],[Yrkesaktivandel-T]])*100/T$439</f>
        <v>21.347821443089956</v>
      </c>
      <c r="AE17" s="7">
        <f>100-(U$436-Tabell2[[#This Row],[Inntekt-T]])*100/U$439</f>
        <v>31.813565060376931</v>
      </c>
      <c r="AF17" s="7">
        <v>18</v>
      </c>
      <c r="AG17" s="7">
        <v>9.6390493601448277</v>
      </c>
      <c r="AH17" s="7">
        <v>1.3225433004636173</v>
      </c>
      <c r="AI17" s="7">
        <v>13.643503169858292</v>
      </c>
      <c r="AJ17" s="7">
        <v>2.8322002304078988</v>
      </c>
      <c r="AK17" s="7">
        <v>3.265128476789172</v>
      </c>
      <c r="AL17" s="7">
        <v>1.641943333376962</v>
      </c>
      <c r="AM17" s="7">
        <v>2.1347821443089958</v>
      </c>
      <c r="AN17" s="7">
        <v>3.1813565060376932</v>
      </c>
      <c r="AO1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55.660506521387461</v>
      </c>
    </row>
    <row r="18" spans="1:41" x14ac:dyDescent="0.3">
      <c r="A18" s="1" t="s">
        <v>15</v>
      </c>
      <c r="B18">
        <f>'Rådata-K'!N17</f>
        <v>2</v>
      </c>
      <c r="C18" s="7">
        <f>'Rådata-K'!M17</f>
        <v>48.9666666667</v>
      </c>
      <c r="D18" s="24">
        <f>'Rådata-K'!O17</f>
        <v>69.833887043189378</v>
      </c>
      <c r="E18" s="24">
        <f>'Rådata-K'!P17</f>
        <v>61.943251662877834</v>
      </c>
      <c r="F18" s="24">
        <f>'Rådata-K'!Q17</f>
        <v>0.12423594132029336</v>
      </c>
      <c r="G18" s="24">
        <f>'Rådata-K'!R17</f>
        <v>0.10371075166508087</v>
      </c>
      <c r="H18" s="24">
        <f>'Rådata-K'!S17</f>
        <v>0.17153731140410494</v>
      </c>
      <c r="I18" s="24">
        <f>'Rådata-K'!T17</f>
        <v>0.25543237250554318</v>
      </c>
      <c r="J18" s="24">
        <f>'Rådata-K'!U17</f>
        <v>0.84497240220782333</v>
      </c>
      <c r="K18" s="24">
        <f>'Rådata-K'!L17</f>
        <v>398400</v>
      </c>
      <c r="L18" s="24">
        <f>Tabell2[[#This Row],[NIBR11]]</f>
        <v>2</v>
      </c>
      <c r="M18" s="24">
        <f>IF(Tabell2[[#This Row],[ReisetidOslo]]&lt;=C$434,C$434,IF(Tabell2[[#This Row],[ReisetidOslo]]&gt;=C$435,C$435,Tabell2[[#This Row],[ReisetidOslo]]))</f>
        <v>52.54</v>
      </c>
      <c r="N18" s="24">
        <f>IF(Tabell2[[#This Row],[Beftettland]]&lt;=D$434,D$434,IF(Tabell2[[#This Row],[Beftettland]]&gt;=D$435,D$435,Tabell2[[#This Row],[Beftettland]]))</f>
        <v>69.833887043189378</v>
      </c>
      <c r="O18" s="24">
        <f>IF(Tabell2[[#This Row],[Beftettotal]]&lt;=E$434,E$434,IF(Tabell2[[#This Row],[Beftettotal]]&gt;=E$435,E$435,Tabell2[[#This Row],[Beftettotal]]))</f>
        <v>61.943251662877834</v>
      </c>
      <c r="P18" s="24">
        <f>IF(Tabell2[[#This Row],[Befvekst10]]&lt;=F$434,F$434,IF(Tabell2[[#This Row],[Befvekst10]]&gt;=F$435,F$435,Tabell2[[#This Row],[Befvekst10]]))</f>
        <v>0.12423594132029336</v>
      </c>
      <c r="Q18" s="24">
        <f>IF(Tabell2[[#This Row],[Kvinneandel]]&lt;=G$434,G$434,IF(Tabell2[[#This Row],[Kvinneandel]]&gt;=G$435,G$435,Tabell2[[#This Row],[Kvinneandel]]))</f>
        <v>0.10371075166508087</v>
      </c>
      <c r="R18" s="24">
        <f>IF(Tabell2[[#This Row],[Eldreandel]]&lt;=H$434,H$434,IF(Tabell2[[#This Row],[Eldreandel]]&gt;=H$435,H$435,Tabell2[[#This Row],[Eldreandel]]))</f>
        <v>0.17153731140410494</v>
      </c>
      <c r="S18" s="24">
        <f>IF(Tabell2[[#This Row],[Sysselsettingsvekst10]]&lt;=I$434,I$434,IF(Tabell2[[#This Row],[Sysselsettingsvekst10]]&gt;=I$435,I$435,Tabell2[[#This Row],[Sysselsettingsvekst10]]))</f>
        <v>0.21384805931725109</v>
      </c>
      <c r="T18" s="24">
        <f>IF(Tabell2[[#This Row],[Yrkesaktivandel]]&lt;=J$434,J$434,IF(Tabell2[[#This Row],[Yrkesaktivandel]]&gt;=J$435,J$435,Tabell2[[#This Row],[Yrkesaktivandel]]))</f>
        <v>0.84497240220782333</v>
      </c>
      <c r="U18" s="24">
        <f>IF(Tabell2[[#This Row],[Inntekt]]&lt;=K$434,K$434,IF(Tabell2[[#This Row],[Inntekt]]&gt;=K$435,K$435,Tabell2[[#This Row],[Inntekt]]))</f>
        <v>398400</v>
      </c>
      <c r="V18" s="7">
        <f>IF(Tabell2[[#This Row],[NIBR11-T]]&lt;=L$437,100,IF(Tabell2[[#This Row],[NIBR11-T]]&gt;=L$436,0,100*(L$436-Tabell2[[#This Row],[NIBR11-T]])/L$439))</f>
        <v>90</v>
      </c>
      <c r="W18" s="7">
        <f>(M$436-Tabell2[[#This Row],[ReisetidOslo-T]])*100/M$439</f>
        <v>100</v>
      </c>
      <c r="X18" s="7">
        <f>100-(N$436-Tabell2[[#This Row],[Beftettland-T]])*100/N$439</f>
        <v>50.618921851790141</v>
      </c>
      <c r="Y18" s="7">
        <f>100-(O$436-Tabell2[[#This Row],[Beftettotal-T]])*100/O$439</f>
        <v>46.404857229211579</v>
      </c>
      <c r="Z18" s="7">
        <f>100-(P$436-Tabell2[[#This Row],[Befvekst10-T]])*100/P$439</f>
        <v>79.049349310795719</v>
      </c>
      <c r="AA18" s="7">
        <f>100-(Q$436-Tabell2[[#This Row],[Kvinneandel-T]])*100/Q$439</f>
        <v>37.275081557448644</v>
      </c>
      <c r="AB18" s="7">
        <f>(R$436-Tabell2[[#This Row],[Eldreandel-T]])*100/R$439</f>
        <v>52.658623159553599</v>
      </c>
      <c r="AC18" s="7">
        <f>100-(S$436-Tabell2[[#This Row],[Sysselsettingsvekst10-T]])*100/S$439</f>
        <v>100</v>
      </c>
      <c r="AD18" s="7">
        <f>100-(T$436-Tabell2[[#This Row],[Yrkesaktivandel-T]])*100/T$439</f>
        <v>32.505677675339669</v>
      </c>
      <c r="AE18" s="7">
        <f>100-(U$436-Tabell2[[#This Row],[Inntekt-T]])*100/U$439</f>
        <v>60.929917616521834</v>
      </c>
      <c r="AF18" s="7">
        <v>18</v>
      </c>
      <c r="AG18" s="7">
        <v>10</v>
      </c>
      <c r="AH18" s="7">
        <v>4.6404857229211585</v>
      </c>
      <c r="AI18" s="7">
        <v>15.809869862159145</v>
      </c>
      <c r="AJ18" s="7">
        <v>1.8637540778724322</v>
      </c>
      <c r="AK18" s="7">
        <v>2.63293115797768</v>
      </c>
      <c r="AL18" s="7">
        <v>10</v>
      </c>
      <c r="AM18" s="7">
        <v>3.2505677675339673</v>
      </c>
      <c r="AN18" s="7">
        <v>6.0929917616521836</v>
      </c>
      <c r="AO1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72.290600350116563</v>
      </c>
    </row>
    <row r="19" spans="1:41" x14ac:dyDescent="0.3">
      <c r="A19" s="1" t="s">
        <v>16</v>
      </c>
      <c r="B19">
        <f>'Rådata-K'!N18</f>
        <v>4</v>
      </c>
      <c r="C19" s="7">
        <f>'Rådata-K'!M18</f>
        <v>44.2833333333</v>
      </c>
      <c r="D19" s="24">
        <f>'Rådata-K'!O18</f>
        <v>221.65184972755952</v>
      </c>
      <c r="E19" s="24">
        <f>'Rådata-K'!P18</f>
        <v>208.35692141798086</v>
      </c>
      <c r="F19" s="24">
        <f>'Rådata-K'!Q18</f>
        <v>0.11513490116866243</v>
      </c>
      <c r="G19" s="24">
        <f>'Rådata-K'!R18</f>
        <v>0.10260059516108164</v>
      </c>
      <c r="H19" s="24">
        <f>'Rådata-K'!S18</f>
        <v>0.15972312071419331</v>
      </c>
      <c r="I19" s="24">
        <f>'Rådata-K'!T18</f>
        <v>0.20607635418748749</v>
      </c>
      <c r="J19" s="24">
        <f>'Rådata-K'!U18</f>
        <v>0.81827376938637897</v>
      </c>
      <c r="K19" s="24">
        <f>'Rådata-K'!L18</f>
        <v>411300</v>
      </c>
      <c r="L19" s="24">
        <f>Tabell2[[#This Row],[NIBR11]]</f>
        <v>4</v>
      </c>
      <c r="M19" s="24">
        <f>IF(Tabell2[[#This Row],[ReisetidOslo]]&lt;=C$434,C$434,IF(Tabell2[[#This Row],[ReisetidOslo]]&gt;=C$435,C$435,Tabell2[[#This Row],[ReisetidOslo]]))</f>
        <v>52.54</v>
      </c>
      <c r="N19" s="24">
        <f>IF(Tabell2[[#This Row],[Beftettland]]&lt;=D$434,D$434,IF(Tabell2[[#This Row],[Beftettland]]&gt;=D$435,D$435,Tabell2[[#This Row],[Beftettland]]))</f>
        <v>136.59179999736304</v>
      </c>
      <c r="O19" s="24">
        <f>IF(Tabell2[[#This Row],[Beftettotal]]&lt;=E$434,E$434,IF(Tabell2[[#This Row],[Beftettotal]]&gt;=E$435,E$435,Tabell2[[#This Row],[Beftettotal]]))</f>
        <v>131.96212083018065</v>
      </c>
      <c r="P19" s="24">
        <f>IF(Tabell2[[#This Row],[Befvekst10]]&lt;=F$434,F$434,IF(Tabell2[[#This Row],[Befvekst10]]&gt;=F$435,F$435,Tabell2[[#This Row],[Befvekst10]]))</f>
        <v>0.11513490116866243</v>
      </c>
      <c r="Q19" s="24">
        <f>IF(Tabell2[[#This Row],[Kvinneandel]]&lt;=G$434,G$434,IF(Tabell2[[#This Row],[Kvinneandel]]&gt;=G$435,G$435,Tabell2[[#This Row],[Kvinneandel]]))</f>
        <v>0.10260059516108164</v>
      </c>
      <c r="R19" s="24">
        <f>IF(Tabell2[[#This Row],[Eldreandel]]&lt;=H$434,H$434,IF(Tabell2[[#This Row],[Eldreandel]]&gt;=H$435,H$435,Tabell2[[#This Row],[Eldreandel]]))</f>
        <v>0.15972312071419331</v>
      </c>
      <c r="S19" s="24">
        <f>IF(Tabell2[[#This Row],[Sysselsettingsvekst10]]&lt;=I$434,I$434,IF(Tabell2[[#This Row],[Sysselsettingsvekst10]]&gt;=I$435,I$435,Tabell2[[#This Row],[Sysselsettingsvekst10]]))</f>
        <v>0.20607635418748749</v>
      </c>
      <c r="T19" s="24">
        <f>IF(Tabell2[[#This Row],[Yrkesaktivandel]]&lt;=J$434,J$434,IF(Tabell2[[#This Row],[Yrkesaktivandel]]&gt;=J$435,J$435,Tabell2[[#This Row],[Yrkesaktivandel]]))</f>
        <v>0.81827376938637897</v>
      </c>
      <c r="U19" s="24">
        <f>IF(Tabell2[[#This Row],[Inntekt]]&lt;=K$434,K$434,IF(Tabell2[[#This Row],[Inntekt]]&gt;=K$435,K$435,Tabell2[[#This Row],[Inntekt]]))</f>
        <v>411300</v>
      </c>
      <c r="V19" s="7">
        <f>IF(Tabell2[[#This Row],[NIBR11-T]]&lt;=L$437,100,IF(Tabell2[[#This Row],[NIBR11-T]]&gt;=L$436,0,100*(L$436-Tabell2[[#This Row],[NIBR11-T]])/L$439))</f>
        <v>70</v>
      </c>
      <c r="W19" s="7">
        <f>(M$436-Tabell2[[#This Row],[ReisetidOslo-T]])*100/M$439</f>
        <v>100</v>
      </c>
      <c r="X19" s="7">
        <f>100-(N$436-Tabell2[[#This Row],[Beftettland-T]])*100/N$439</f>
        <v>100</v>
      </c>
      <c r="Y19" s="7">
        <f>100-(O$436-Tabell2[[#This Row],[Beftettotal-T]])*100/O$439</f>
        <v>100</v>
      </c>
      <c r="Z19" s="7">
        <f>100-(P$436-Tabell2[[#This Row],[Befvekst10-T]])*100/P$439</f>
        <v>75.365602727187252</v>
      </c>
      <c r="AA19" s="7">
        <f>100-(Q$436-Tabell2[[#This Row],[Kvinneandel-T]])*100/Q$439</f>
        <v>34.358641282100749</v>
      </c>
      <c r="AB19" s="7">
        <f>(R$436-Tabell2[[#This Row],[Eldreandel-T]])*100/R$439</f>
        <v>65.409145569664275</v>
      </c>
      <c r="AC19" s="7">
        <f>100-(S$436-Tabell2[[#This Row],[Sysselsettingsvekst10-T]])*100/S$439</f>
        <v>97.463693921153208</v>
      </c>
      <c r="AD19" s="7">
        <f>100-(T$436-Tabell2[[#This Row],[Yrkesaktivandel-T]])*100/T$439</f>
        <v>13.675296878957269</v>
      </c>
      <c r="AE19" s="7">
        <f>100-(U$436-Tabell2[[#This Row],[Inntekt-T]])*100/U$439</f>
        <v>75.488093894594286</v>
      </c>
      <c r="AF19" s="7">
        <v>14</v>
      </c>
      <c r="AG19" s="7">
        <v>10</v>
      </c>
      <c r="AH19" s="7">
        <v>10</v>
      </c>
      <c r="AI19" s="7">
        <v>15.073120545437451</v>
      </c>
      <c r="AJ19" s="7">
        <v>1.7179320641050375</v>
      </c>
      <c r="AK19" s="7">
        <v>3.2704572784832138</v>
      </c>
      <c r="AL19" s="7">
        <v>9.7463693921153212</v>
      </c>
      <c r="AM19" s="7">
        <v>1.367529687895727</v>
      </c>
      <c r="AN19" s="7">
        <v>7.5488093894594286</v>
      </c>
      <c r="AO1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72.72421835749617</v>
      </c>
    </row>
    <row r="20" spans="1:41" x14ac:dyDescent="0.3">
      <c r="A20" s="1" t="s">
        <v>17</v>
      </c>
      <c r="B20">
        <f>'Rådata-K'!N19</f>
        <v>4</v>
      </c>
      <c r="C20" s="7">
        <f>'Rådata-K'!M19</f>
        <v>43.183333333299998</v>
      </c>
      <c r="D20" s="24">
        <f>'Rådata-K'!O19</f>
        <v>21.709645010046884</v>
      </c>
      <c r="E20" s="24">
        <f>'Rådata-K'!P19</f>
        <v>20.182129514321296</v>
      </c>
      <c r="F20" s="24">
        <f>'Rådata-K'!Q19</f>
        <v>0.27388847948906903</v>
      </c>
      <c r="G20" s="24">
        <f>'Rådata-K'!R19</f>
        <v>0.12668723486309294</v>
      </c>
      <c r="H20" s="24">
        <f>'Rådata-K'!S19</f>
        <v>0.11935981488623217</v>
      </c>
      <c r="I20" s="24">
        <f>'Rådata-K'!T19</f>
        <v>0.2801556420233462</v>
      </c>
      <c r="J20" s="24">
        <f>'Rådata-K'!U19</f>
        <v>0.85542949756888165</v>
      </c>
      <c r="K20" s="24">
        <f>'Rådata-K'!L19</f>
        <v>405300</v>
      </c>
      <c r="L20" s="24">
        <f>Tabell2[[#This Row],[NIBR11]]</f>
        <v>4</v>
      </c>
      <c r="M20" s="24">
        <f>IF(Tabell2[[#This Row],[ReisetidOslo]]&lt;=C$434,C$434,IF(Tabell2[[#This Row],[ReisetidOslo]]&gt;=C$435,C$435,Tabell2[[#This Row],[ReisetidOslo]]))</f>
        <v>52.54</v>
      </c>
      <c r="N20" s="24">
        <f>IF(Tabell2[[#This Row],[Beftettland]]&lt;=D$434,D$434,IF(Tabell2[[#This Row],[Beftettland]]&gt;=D$435,D$435,Tabell2[[#This Row],[Beftettland]]))</f>
        <v>21.709645010046884</v>
      </c>
      <c r="O20" s="24">
        <f>IF(Tabell2[[#This Row],[Beftettotal]]&lt;=E$434,E$434,IF(Tabell2[[#This Row],[Beftettotal]]&gt;=E$435,E$435,Tabell2[[#This Row],[Beftettotal]]))</f>
        <v>20.182129514321296</v>
      </c>
      <c r="P20" s="24">
        <f>IF(Tabell2[[#This Row],[Befvekst10]]&lt;=F$434,F$434,IF(Tabell2[[#This Row],[Befvekst10]]&gt;=F$435,F$435,Tabell2[[#This Row],[Befvekst10]]))</f>
        <v>0.17599648151968622</v>
      </c>
      <c r="Q20" s="24">
        <f>IF(Tabell2[[#This Row],[Kvinneandel]]&lt;=G$434,G$434,IF(Tabell2[[#This Row],[Kvinneandel]]&gt;=G$435,G$435,Tabell2[[#This Row],[Kvinneandel]]))</f>
        <v>0.12668723486309294</v>
      </c>
      <c r="R20" s="24">
        <f>IF(Tabell2[[#This Row],[Eldreandel]]&lt;=H$434,H$434,IF(Tabell2[[#This Row],[Eldreandel]]&gt;=H$435,H$435,Tabell2[[#This Row],[Eldreandel]]))</f>
        <v>0.12767243783057225</v>
      </c>
      <c r="S20" s="24">
        <f>IF(Tabell2[[#This Row],[Sysselsettingsvekst10]]&lt;=I$434,I$434,IF(Tabell2[[#This Row],[Sysselsettingsvekst10]]&gt;=I$435,I$435,Tabell2[[#This Row],[Sysselsettingsvekst10]]))</f>
        <v>0.21384805931725109</v>
      </c>
      <c r="T20" s="24">
        <f>IF(Tabell2[[#This Row],[Yrkesaktivandel]]&lt;=J$434,J$434,IF(Tabell2[[#This Row],[Yrkesaktivandel]]&gt;=J$435,J$435,Tabell2[[#This Row],[Yrkesaktivandel]]))</f>
        <v>0.85542949756888165</v>
      </c>
      <c r="U20" s="24">
        <f>IF(Tabell2[[#This Row],[Inntekt]]&lt;=K$434,K$434,IF(Tabell2[[#This Row],[Inntekt]]&gt;=K$435,K$435,Tabell2[[#This Row],[Inntekt]]))</f>
        <v>405300</v>
      </c>
      <c r="V20" s="7">
        <f>IF(Tabell2[[#This Row],[NIBR11-T]]&lt;=L$437,100,IF(Tabell2[[#This Row],[NIBR11-T]]&gt;=L$436,0,100*(L$436-Tabell2[[#This Row],[NIBR11-T]])/L$439))</f>
        <v>70</v>
      </c>
      <c r="W20" s="7">
        <f>(M$436-Tabell2[[#This Row],[ReisetidOslo-T]])*100/M$439</f>
        <v>100</v>
      </c>
      <c r="X20" s="7">
        <f>100-(N$436-Tabell2[[#This Row],[Beftettland-T]])*100/N$439</f>
        <v>15.021239846762711</v>
      </c>
      <c r="Y20" s="7">
        <f>100-(O$436-Tabell2[[#This Row],[Beftettotal-T]])*100/O$439</f>
        <v>14.439283799679458</v>
      </c>
      <c r="Z20" s="7">
        <f>100-(P$436-Tabell2[[#This Row],[Befvekst10-T]])*100/P$439</f>
        <v>100</v>
      </c>
      <c r="AA20" s="7">
        <f>100-(Q$436-Tabell2[[#This Row],[Kvinneandel-T]])*100/Q$439</f>
        <v>97.6355269028941</v>
      </c>
      <c r="AB20" s="7">
        <f>(R$436-Tabell2[[#This Row],[Eldreandel-T]])*100/R$439</f>
        <v>100</v>
      </c>
      <c r="AC20" s="7">
        <f>100-(S$436-Tabell2[[#This Row],[Sysselsettingsvekst10-T]])*100/S$439</f>
        <v>100</v>
      </c>
      <c r="AD20" s="7">
        <f>100-(T$436-Tabell2[[#This Row],[Yrkesaktivandel-T]])*100/T$439</f>
        <v>39.881002434091108</v>
      </c>
      <c r="AE20" s="7">
        <f>100-(U$436-Tabell2[[#This Row],[Inntekt-T]])*100/U$439</f>
        <v>68.716849114095481</v>
      </c>
      <c r="AF20" s="7">
        <v>14</v>
      </c>
      <c r="AG20" s="7">
        <v>10</v>
      </c>
      <c r="AH20" s="7">
        <v>1.4439283799679459</v>
      </c>
      <c r="AI20" s="7">
        <v>20</v>
      </c>
      <c r="AJ20" s="7">
        <v>4.8817763451447052</v>
      </c>
      <c r="AK20" s="7">
        <v>5</v>
      </c>
      <c r="AL20" s="7">
        <v>10</v>
      </c>
      <c r="AM20" s="7">
        <v>3.9881002434091108</v>
      </c>
      <c r="AN20" s="7">
        <v>6.8716849114095488</v>
      </c>
      <c r="AO2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76.185489879931296</v>
      </c>
    </row>
    <row r="21" spans="1:41" x14ac:dyDescent="0.3">
      <c r="A21" s="1" t="s">
        <v>18</v>
      </c>
      <c r="B21">
        <f>'Rådata-K'!N20</f>
        <v>1</v>
      </c>
      <c r="C21" s="7">
        <f>'Rådata-K'!M20</f>
        <v>33.183333333299998</v>
      </c>
      <c r="D21" s="24">
        <f>'Rådata-K'!O20</f>
        <v>38.611091183011695</v>
      </c>
      <c r="E21" s="24">
        <f>'Rådata-K'!P20</f>
        <v>38.33606382220956</v>
      </c>
      <c r="F21" s="24">
        <f>'Rådata-K'!Q20</f>
        <v>0.17922874671340927</v>
      </c>
      <c r="G21" s="24">
        <f>'Rådata-K'!R20</f>
        <v>0.12077294685990338</v>
      </c>
      <c r="H21" s="24">
        <f>'Rådata-K'!S20</f>
        <v>0.12839093273875882</v>
      </c>
      <c r="I21" s="24">
        <f>'Rådata-K'!T20</f>
        <v>0.15347490347490345</v>
      </c>
      <c r="J21" s="24">
        <f>'Rådata-K'!U20</f>
        <v>0.83338428615102411</v>
      </c>
      <c r="K21" s="24">
        <f>'Rådata-K'!L20</f>
        <v>388800</v>
      </c>
      <c r="L21" s="24">
        <f>Tabell2[[#This Row],[NIBR11]]</f>
        <v>1</v>
      </c>
      <c r="M21" s="24">
        <f>IF(Tabell2[[#This Row],[ReisetidOslo]]&lt;=C$434,C$434,IF(Tabell2[[#This Row],[ReisetidOslo]]&gt;=C$435,C$435,Tabell2[[#This Row],[ReisetidOslo]]))</f>
        <v>52.54</v>
      </c>
      <c r="N21" s="24">
        <f>IF(Tabell2[[#This Row],[Beftettland]]&lt;=D$434,D$434,IF(Tabell2[[#This Row],[Beftettland]]&gt;=D$435,D$435,Tabell2[[#This Row],[Beftettland]]))</f>
        <v>38.611091183011695</v>
      </c>
      <c r="O21" s="24">
        <f>IF(Tabell2[[#This Row],[Beftettotal]]&lt;=E$434,E$434,IF(Tabell2[[#This Row],[Beftettotal]]&gt;=E$435,E$435,Tabell2[[#This Row],[Beftettotal]]))</f>
        <v>38.33606382220956</v>
      </c>
      <c r="P21" s="24">
        <f>IF(Tabell2[[#This Row],[Befvekst10]]&lt;=F$434,F$434,IF(Tabell2[[#This Row],[Befvekst10]]&gt;=F$435,F$435,Tabell2[[#This Row],[Befvekst10]]))</f>
        <v>0.17599648151968622</v>
      </c>
      <c r="Q21" s="24">
        <f>IF(Tabell2[[#This Row],[Kvinneandel]]&lt;=G$434,G$434,IF(Tabell2[[#This Row],[Kvinneandel]]&gt;=G$435,G$435,Tabell2[[#This Row],[Kvinneandel]]))</f>
        <v>0.12077294685990338</v>
      </c>
      <c r="R21" s="24">
        <f>IF(Tabell2[[#This Row],[Eldreandel]]&lt;=H$434,H$434,IF(Tabell2[[#This Row],[Eldreandel]]&gt;=H$435,H$435,Tabell2[[#This Row],[Eldreandel]]))</f>
        <v>0.12839093273875882</v>
      </c>
      <c r="S21" s="24">
        <f>IF(Tabell2[[#This Row],[Sysselsettingsvekst10]]&lt;=I$434,I$434,IF(Tabell2[[#This Row],[Sysselsettingsvekst10]]&gt;=I$435,I$435,Tabell2[[#This Row],[Sysselsettingsvekst10]]))</f>
        <v>0.15347490347490345</v>
      </c>
      <c r="T21" s="24">
        <f>IF(Tabell2[[#This Row],[Yrkesaktivandel]]&lt;=J$434,J$434,IF(Tabell2[[#This Row],[Yrkesaktivandel]]&gt;=J$435,J$435,Tabell2[[#This Row],[Yrkesaktivandel]]))</f>
        <v>0.83338428615102411</v>
      </c>
      <c r="U21" s="24">
        <f>IF(Tabell2[[#This Row],[Inntekt]]&lt;=K$434,K$434,IF(Tabell2[[#This Row],[Inntekt]]&gt;=K$435,K$435,Tabell2[[#This Row],[Inntekt]]))</f>
        <v>388800</v>
      </c>
      <c r="V21" s="7">
        <f>IF(Tabell2[[#This Row],[NIBR11-T]]&lt;=L$437,100,IF(Tabell2[[#This Row],[NIBR11-T]]&gt;=L$436,0,100*(L$436-Tabell2[[#This Row],[NIBR11-T]])/L$439))</f>
        <v>100</v>
      </c>
      <c r="W21" s="7">
        <f>(M$436-Tabell2[[#This Row],[ReisetidOslo-T]])*100/M$439</f>
        <v>100</v>
      </c>
      <c r="X21" s="7">
        <f>100-(N$436-Tabell2[[#This Row],[Beftettland-T]])*100/N$439</f>
        <v>27.523302858496791</v>
      </c>
      <c r="Y21" s="7">
        <f>100-(O$436-Tabell2[[#This Row],[Beftettotal-T]])*100/O$439</f>
        <v>28.335005233825896</v>
      </c>
      <c r="Z21" s="7">
        <f>100-(P$436-Tabell2[[#This Row],[Befvekst10-T]])*100/P$439</f>
        <v>100</v>
      </c>
      <c r="AA21" s="7">
        <f>100-(Q$436-Tabell2[[#This Row],[Kvinneandel-T]])*100/Q$439</f>
        <v>82.098377257441214</v>
      </c>
      <c r="AB21" s="7">
        <f>(R$436-Tabell2[[#This Row],[Eldreandel-T]])*100/R$439</f>
        <v>99.224560897243165</v>
      </c>
      <c r="AC21" s="7">
        <f>100-(S$436-Tabell2[[#This Row],[Sysselsettingsvekst10-T]])*100/S$439</f>
        <v>80.297142055006304</v>
      </c>
      <c r="AD21" s="7">
        <f>100-(T$436-Tabell2[[#This Row],[Yrkesaktivandel-T]])*100/T$439</f>
        <v>24.332651006837864</v>
      </c>
      <c r="AE21" s="7">
        <f>100-(U$436-Tabell2[[#This Row],[Inntekt-T]])*100/U$439</f>
        <v>50.09592596772373</v>
      </c>
      <c r="AF21" s="7">
        <v>20</v>
      </c>
      <c r="AG21" s="7">
        <v>10</v>
      </c>
      <c r="AH21" s="7">
        <v>2.8335005233825896</v>
      </c>
      <c r="AI21" s="7">
        <v>20</v>
      </c>
      <c r="AJ21" s="7">
        <v>4.1049188628720605</v>
      </c>
      <c r="AK21" s="7">
        <v>4.9612280448621586</v>
      </c>
      <c r="AL21" s="7">
        <v>8.0297142055006301</v>
      </c>
      <c r="AM21" s="7">
        <v>2.4332651006837867</v>
      </c>
      <c r="AN21" s="7">
        <v>5.0095925967723733</v>
      </c>
      <c r="AO2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77.372219334073606</v>
      </c>
    </row>
    <row r="22" spans="1:41" x14ac:dyDescent="0.3">
      <c r="A22" s="2" t="s">
        <v>19</v>
      </c>
      <c r="B22">
        <f>'Rådata-K'!N21</f>
        <v>1</v>
      </c>
      <c r="C22" s="7">
        <f>'Rådata-K'!M21</f>
        <v>28.516666666700001</v>
      </c>
      <c r="D22" s="24">
        <f>'Rådata-K'!O21</f>
        <v>125.19266741488963</v>
      </c>
      <c r="E22" s="24">
        <f>'Rådata-K'!P21</f>
        <v>124.89363290288871</v>
      </c>
      <c r="F22" s="24">
        <f>'Rådata-K'!Q21</f>
        <v>0.27152519188388169</v>
      </c>
      <c r="G22" s="24">
        <f>'Rådata-K'!R21</f>
        <v>0.11451111642361941</v>
      </c>
      <c r="H22" s="24">
        <f>'Rådata-K'!S21</f>
        <v>0.133277551996175</v>
      </c>
      <c r="I22" s="24">
        <f>'Rådata-K'!T21</f>
        <v>0.50609364977549709</v>
      </c>
      <c r="J22" s="24">
        <f>'Rådata-K'!U21</f>
        <v>0.86435592343507506</v>
      </c>
      <c r="K22" s="24">
        <f>'Rådata-K'!L21</f>
        <v>440000</v>
      </c>
      <c r="L22" s="24">
        <f>Tabell2[[#This Row],[NIBR11]]</f>
        <v>1</v>
      </c>
      <c r="M22" s="24">
        <f>IF(Tabell2[[#This Row],[ReisetidOslo]]&lt;=C$434,C$434,IF(Tabell2[[#This Row],[ReisetidOslo]]&gt;=C$435,C$435,Tabell2[[#This Row],[ReisetidOslo]]))</f>
        <v>52.54</v>
      </c>
      <c r="N22" s="24">
        <f>IF(Tabell2[[#This Row],[Beftettland]]&lt;=D$434,D$434,IF(Tabell2[[#This Row],[Beftettland]]&gt;=D$435,D$435,Tabell2[[#This Row],[Beftettland]]))</f>
        <v>125.19266741488963</v>
      </c>
      <c r="O22" s="24">
        <f>IF(Tabell2[[#This Row],[Beftettotal]]&lt;=E$434,E$434,IF(Tabell2[[#This Row],[Beftettotal]]&gt;=E$435,E$435,Tabell2[[#This Row],[Beftettotal]]))</f>
        <v>124.89363290288871</v>
      </c>
      <c r="P22" s="24">
        <f>IF(Tabell2[[#This Row],[Befvekst10]]&lt;=F$434,F$434,IF(Tabell2[[#This Row],[Befvekst10]]&gt;=F$435,F$435,Tabell2[[#This Row],[Befvekst10]]))</f>
        <v>0.17599648151968622</v>
      </c>
      <c r="Q22" s="24">
        <f>IF(Tabell2[[#This Row],[Kvinneandel]]&lt;=G$434,G$434,IF(Tabell2[[#This Row],[Kvinneandel]]&gt;=G$435,G$435,Tabell2[[#This Row],[Kvinneandel]]))</f>
        <v>0.11451111642361941</v>
      </c>
      <c r="R22" s="24">
        <f>IF(Tabell2[[#This Row],[Eldreandel]]&lt;=H$434,H$434,IF(Tabell2[[#This Row],[Eldreandel]]&gt;=H$435,H$435,Tabell2[[#This Row],[Eldreandel]]))</f>
        <v>0.133277551996175</v>
      </c>
      <c r="S22" s="24">
        <f>IF(Tabell2[[#This Row],[Sysselsettingsvekst10]]&lt;=I$434,I$434,IF(Tabell2[[#This Row],[Sysselsettingsvekst10]]&gt;=I$435,I$435,Tabell2[[#This Row],[Sysselsettingsvekst10]]))</f>
        <v>0.21384805931725109</v>
      </c>
      <c r="T22" s="24">
        <f>IF(Tabell2[[#This Row],[Yrkesaktivandel]]&lt;=J$434,J$434,IF(Tabell2[[#This Row],[Yrkesaktivandel]]&gt;=J$435,J$435,Tabell2[[#This Row],[Yrkesaktivandel]]))</f>
        <v>0.86435592343507506</v>
      </c>
      <c r="U22" s="24">
        <f>IF(Tabell2[[#This Row],[Inntekt]]&lt;=K$434,K$434,IF(Tabell2[[#This Row],[Inntekt]]&gt;=K$435,K$435,Tabell2[[#This Row],[Inntekt]]))</f>
        <v>433020</v>
      </c>
      <c r="V22" s="7">
        <f>IF(Tabell2[[#This Row],[NIBR11-T]]&lt;=L$437,100,IF(Tabell2[[#This Row],[NIBR11-T]]&gt;=L$436,0,100*(L$436-Tabell2[[#This Row],[NIBR11-T]])/L$439))</f>
        <v>100</v>
      </c>
      <c r="W22" s="7">
        <f>(M$436-Tabell2[[#This Row],[ReisetidOslo-T]])*100/M$439</f>
        <v>100</v>
      </c>
      <c r="X22" s="7">
        <f>100-(N$436-Tabell2[[#This Row],[Beftettland-T]])*100/N$439</f>
        <v>91.568018951351405</v>
      </c>
      <c r="Y22" s="7">
        <f>100-(O$436-Tabell2[[#This Row],[Beftettotal-T]])*100/O$439</f>
        <v>94.589506740938432</v>
      </c>
      <c r="Z22" s="7">
        <f>100-(P$436-Tabell2[[#This Row],[Befvekst10-T]])*100/P$439</f>
        <v>100</v>
      </c>
      <c r="AA22" s="7">
        <f>100-(Q$436-Tabell2[[#This Row],[Kvinneandel-T]])*100/Q$439</f>
        <v>65.648215126255423</v>
      </c>
      <c r="AB22" s="7">
        <f>(R$436-Tabell2[[#This Row],[Eldreandel-T]])*100/R$439</f>
        <v>93.95065344249312</v>
      </c>
      <c r="AC22" s="7">
        <f>100-(S$436-Tabell2[[#This Row],[Sysselsettingsvekst10-T]])*100/S$439</f>
        <v>100</v>
      </c>
      <c r="AD22" s="7">
        <f>100-(T$436-Tabell2[[#This Row],[Yrkesaktivandel-T]])*100/T$439</f>
        <v>46.176755453927065</v>
      </c>
      <c r="AE22" s="7">
        <f>100-(U$436-Tabell2[[#This Row],[Inntekt-T]])*100/U$439</f>
        <v>100</v>
      </c>
      <c r="AF22" s="7">
        <v>20</v>
      </c>
      <c r="AG22" s="7">
        <v>10</v>
      </c>
      <c r="AH22" s="7">
        <v>9.4589506740938436</v>
      </c>
      <c r="AI22" s="7">
        <v>20</v>
      </c>
      <c r="AJ22" s="7">
        <v>3.2824107563127711</v>
      </c>
      <c r="AK22" s="7">
        <v>4.6975326721246562</v>
      </c>
      <c r="AL22" s="7">
        <v>10</v>
      </c>
      <c r="AM22" s="7">
        <v>4.6176755453927063</v>
      </c>
      <c r="AN22" s="7">
        <v>10</v>
      </c>
      <c r="AO2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92.056569647923965</v>
      </c>
    </row>
    <row r="23" spans="1:41" x14ac:dyDescent="0.3">
      <c r="A23" s="2" t="s">
        <v>20</v>
      </c>
      <c r="B23">
        <f>'Rådata-K'!N22</f>
        <v>1</v>
      </c>
      <c r="C23" s="7">
        <f>'Rådata-K'!M22</f>
        <v>21.816666666700002</v>
      </c>
      <c r="D23" s="24">
        <f>'Rådata-K'!O22</f>
        <v>187.13128439799641</v>
      </c>
      <c r="E23" s="24">
        <f>'Rådata-K'!P22</f>
        <v>182.81278318129645</v>
      </c>
      <c r="F23" s="24">
        <f>'Rådata-K'!Q22</f>
        <v>0.12036282858200664</v>
      </c>
      <c r="G23" s="24">
        <f>'Rådata-K'!R22</f>
        <v>0.11470209180132844</v>
      </c>
      <c r="H23" s="24">
        <f>'Rådata-K'!S22</f>
        <v>0.1335051716731106</v>
      </c>
      <c r="I23" s="24">
        <f>'Rådata-K'!T22</f>
        <v>0.24283290924512291</v>
      </c>
      <c r="J23" s="24">
        <f>'Rådata-K'!U22</f>
        <v>0.86449350350695642</v>
      </c>
      <c r="K23" s="24">
        <f>'Rådata-K'!L22</f>
        <v>445900</v>
      </c>
      <c r="L23" s="24">
        <f>Tabell2[[#This Row],[NIBR11]]</f>
        <v>1</v>
      </c>
      <c r="M23" s="24">
        <f>IF(Tabell2[[#This Row],[ReisetidOslo]]&lt;=C$434,C$434,IF(Tabell2[[#This Row],[ReisetidOslo]]&gt;=C$435,C$435,Tabell2[[#This Row],[ReisetidOslo]]))</f>
        <v>52.54</v>
      </c>
      <c r="N23" s="24">
        <f>IF(Tabell2[[#This Row],[Beftettland]]&lt;=D$434,D$434,IF(Tabell2[[#This Row],[Beftettland]]&gt;=D$435,D$435,Tabell2[[#This Row],[Beftettland]]))</f>
        <v>136.59179999736304</v>
      </c>
      <c r="O23" s="24">
        <f>IF(Tabell2[[#This Row],[Beftettotal]]&lt;=E$434,E$434,IF(Tabell2[[#This Row],[Beftettotal]]&gt;=E$435,E$435,Tabell2[[#This Row],[Beftettotal]]))</f>
        <v>131.96212083018065</v>
      </c>
      <c r="P23" s="24">
        <f>IF(Tabell2[[#This Row],[Befvekst10]]&lt;=F$434,F$434,IF(Tabell2[[#This Row],[Befvekst10]]&gt;=F$435,F$435,Tabell2[[#This Row],[Befvekst10]]))</f>
        <v>0.12036282858200664</v>
      </c>
      <c r="Q23" s="24">
        <f>IF(Tabell2[[#This Row],[Kvinneandel]]&lt;=G$434,G$434,IF(Tabell2[[#This Row],[Kvinneandel]]&gt;=G$435,G$435,Tabell2[[#This Row],[Kvinneandel]]))</f>
        <v>0.11470209180132844</v>
      </c>
      <c r="R23" s="24">
        <f>IF(Tabell2[[#This Row],[Eldreandel]]&lt;=H$434,H$434,IF(Tabell2[[#This Row],[Eldreandel]]&gt;=H$435,H$435,Tabell2[[#This Row],[Eldreandel]]))</f>
        <v>0.1335051716731106</v>
      </c>
      <c r="S23" s="24">
        <f>IF(Tabell2[[#This Row],[Sysselsettingsvekst10]]&lt;=I$434,I$434,IF(Tabell2[[#This Row],[Sysselsettingsvekst10]]&gt;=I$435,I$435,Tabell2[[#This Row],[Sysselsettingsvekst10]]))</f>
        <v>0.21384805931725109</v>
      </c>
      <c r="T23" s="24">
        <f>IF(Tabell2[[#This Row],[Yrkesaktivandel]]&lt;=J$434,J$434,IF(Tabell2[[#This Row],[Yrkesaktivandel]]&gt;=J$435,J$435,Tabell2[[#This Row],[Yrkesaktivandel]]))</f>
        <v>0.86449350350695642</v>
      </c>
      <c r="U23" s="24">
        <f>IF(Tabell2[[#This Row],[Inntekt]]&lt;=K$434,K$434,IF(Tabell2[[#This Row],[Inntekt]]&gt;=K$435,K$435,Tabell2[[#This Row],[Inntekt]]))</f>
        <v>433020</v>
      </c>
      <c r="V23" s="7">
        <f>IF(Tabell2[[#This Row],[NIBR11-T]]&lt;=L$437,100,IF(Tabell2[[#This Row],[NIBR11-T]]&gt;=L$436,0,100*(L$436-Tabell2[[#This Row],[NIBR11-T]])/L$439))</f>
        <v>100</v>
      </c>
      <c r="W23" s="7">
        <f>(M$436-Tabell2[[#This Row],[ReisetidOslo-T]])*100/M$439</f>
        <v>100</v>
      </c>
      <c r="X23" s="7">
        <f>100-(N$436-Tabell2[[#This Row],[Beftettland-T]])*100/N$439</f>
        <v>100</v>
      </c>
      <c r="Y23" s="7">
        <f>100-(O$436-Tabell2[[#This Row],[Beftettotal-T]])*100/O$439</f>
        <v>100</v>
      </c>
      <c r="Z23" s="7">
        <f>100-(P$436-Tabell2[[#This Row],[Befvekst10-T]])*100/P$439</f>
        <v>77.481664125379041</v>
      </c>
      <c r="AA23" s="7">
        <f>100-(Q$436-Tabell2[[#This Row],[Kvinneandel-T]])*100/Q$439</f>
        <v>66.149917616979877</v>
      </c>
      <c r="AB23" s="7">
        <f>(R$436-Tabell2[[#This Row],[Eldreandel-T]])*100/R$439</f>
        <v>93.704993805881045</v>
      </c>
      <c r="AC23" s="7">
        <f>100-(S$436-Tabell2[[#This Row],[Sysselsettingsvekst10-T]])*100/S$439</f>
        <v>100</v>
      </c>
      <c r="AD23" s="7">
        <f>100-(T$436-Tabell2[[#This Row],[Yrkesaktivandel-T]])*100/T$439</f>
        <v>46.273789828714932</v>
      </c>
      <c r="AE23" s="7">
        <f>100-(U$436-Tabell2[[#This Row],[Inntekt-T]])*100/U$439</f>
        <v>100</v>
      </c>
      <c r="AF23" s="7">
        <v>20</v>
      </c>
      <c r="AG23" s="7">
        <v>10</v>
      </c>
      <c r="AH23" s="7">
        <v>10</v>
      </c>
      <c r="AI23" s="7">
        <v>15.496332825075809</v>
      </c>
      <c r="AJ23" s="7">
        <v>3.307495880848994</v>
      </c>
      <c r="AK23" s="7">
        <v>4.6852496902940528</v>
      </c>
      <c r="AL23" s="7">
        <v>10</v>
      </c>
      <c r="AM23" s="7">
        <v>4.6273789828714937</v>
      </c>
      <c r="AN23" s="7">
        <v>10</v>
      </c>
      <c r="AO2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88.116457379090349</v>
      </c>
    </row>
    <row r="24" spans="1:41" x14ac:dyDescent="0.3">
      <c r="A24" s="2" t="s">
        <v>21</v>
      </c>
      <c r="B24">
        <f>'Rådata-K'!N23</f>
        <v>1</v>
      </c>
      <c r="C24" s="7">
        <f>'Rådata-K'!M23</f>
        <v>26.75</v>
      </c>
      <c r="D24" s="24">
        <f>'Rådata-K'!O23</f>
        <v>187.53826404660808</v>
      </c>
      <c r="E24" s="24">
        <f>'Rådata-K'!P23</f>
        <v>184.20950533462658</v>
      </c>
      <c r="F24" s="24">
        <f>'Rådata-K'!Q23</f>
        <v>0.3070887818306951</v>
      </c>
      <c r="G24" s="24">
        <f>'Rådata-K'!R23</f>
        <v>0.14084877843302443</v>
      </c>
      <c r="H24" s="24">
        <f>'Rådata-K'!S23</f>
        <v>0.12299915754001685</v>
      </c>
      <c r="I24" s="24">
        <f>'Rådata-K'!T23</f>
        <v>0.20641620937104266</v>
      </c>
      <c r="J24" s="24">
        <f>'Rådata-K'!U23</f>
        <v>0.82530961102389677</v>
      </c>
      <c r="K24" s="24">
        <f>'Rådata-K'!L23</f>
        <v>417200</v>
      </c>
      <c r="L24" s="24">
        <f>Tabell2[[#This Row],[NIBR11]]</f>
        <v>1</v>
      </c>
      <c r="M24" s="24">
        <f>IF(Tabell2[[#This Row],[ReisetidOslo]]&lt;=C$434,C$434,IF(Tabell2[[#This Row],[ReisetidOslo]]&gt;=C$435,C$435,Tabell2[[#This Row],[ReisetidOslo]]))</f>
        <v>52.54</v>
      </c>
      <c r="N24" s="24">
        <f>IF(Tabell2[[#This Row],[Beftettland]]&lt;=D$434,D$434,IF(Tabell2[[#This Row],[Beftettland]]&gt;=D$435,D$435,Tabell2[[#This Row],[Beftettland]]))</f>
        <v>136.59179999736304</v>
      </c>
      <c r="O24" s="24">
        <f>IF(Tabell2[[#This Row],[Beftettotal]]&lt;=E$434,E$434,IF(Tabell2[[#This Row],[Beftettotal]]&gt;=E$435,E$435,Tabell2[[#This Row],[Beftettotal]]))</f>
        <v>131.96212083018065</v>
      </c>
      <c r="P24" s="24">
        <f>IF(Tabell2[[#This Row],[Befvekst10]]&lt;=F$434,F$434,IF(Tabell2[[#This Row],[Befvekst10]]&gt;=F$435,F$435,Tabell2[[#This Row],[Befvekst10]]))</f>
        <v>0.17599648151968622</v>
      </c>
      <c r="Q24" s="24">
        <f>IF(Tabell2[[#This Row],[Kvinneandel]]&lt;=G$434,G$434,IF(Tabell2[[#This Row],[Kvinneandel]]&gt;=G$435,G$435,Tabell2[[#This Row],[Kvinneandel]]))</f>
        <v>0.12758728250318055</v>
      </c>
      <c r="R24" s="24">
        <f>IF(Tabell2[[#This Row],[Eldreandel]]&lt;=H$434,H$434,IF(Tabell2[[#This Row],[Eldreandel]]&gt;=H$435,H$435,Tabell2[[#This Row],[Eldreandel]]))</f>
        <v>0.12767243783057225</v>
      </c>
      <c r="S24" s="24">
        <f>IF(Tabell2[[#This Row],[Sysselsettingsvekst10]]&lt;=I$434,I$434,IF(Tabell2[[#This Row],[Sysselsettingsvekst10]]&gt;=I$435,I$435,Tabell2[[#This Row],[Sysselsettingsvekst10]]))</f>
        <v>0.20641620937104266</v>
      </c>
      <c r="T24" s="24">
        <f>IF(Tabell2[[#This Row],[Yrkesaktivandel]]&lt;=J$434,J$434,IF(Tabell2[[#This Row],[Yrkesaktivandel]]&gt;=J$435,J$435,Tabell2[[#This Row],[Yrkesaktivandel]]))</f>
        <v>0.82530961102389677</v>
      </c>
      <c r="U24" s="24">
        <f>IF(Tabell2[[#This Row],[Inntekt]]&lt;=K$434,K$434,IF(Tabell2[[#This Row],[Inntekt]]&gt;=K$435,K$435,Tabell2[[#This Row],[Inntekt]]))</f>
        <v>417200</v>
      </c>
      <c r="V24" s="7">
        <f>IF(Tabell2[[#This Row],[NIBR11-T]]&lt;=L$437,100,IF(Tabell2[[#This Row],[NIBR11-T]]&gt;=L$436,0,100*(L$436-Tabell2[[#This Row],[NIBR11-T]])/L$439))</f>
        <v>100</v>
      </c>
      <c r="W24" s="7">
        <f>(M$436-Tabell2[[#This Row],[ReisetidOslo-T]])*100/M$439</f>
        <v>100</v>
      </c>
      <c r="X24" s="7">
        <f>100-(N$436-Tabell2[[#This Row],[Beftettland-T]])*100/N$439</f>
        <v>100</v>
      </c>
      <c r="Y24" s="7">
        <f>100-(O$436-Tabell2[[#This Row],[Beftettotal-T]])*100/O$439</f>
        <v>100</v>
      </c>
      <c r="Z24" s="7">
        <f>100-(P$436-Tabell2[[#This Row],[Befvekst10-T]])*100/P$439</f>
        <v>100</v>
      </c>
      <c r="AA24" s="7">
        <f>100-(Q$436-Tabell2[[#This Row],[Kvinneandel-T]])*100/Q$439</f>
        <v>100</v>
      </c>
      <c r="AB24" s="7">
        <f>(R$436-Tabell2[[#This Row],[Eldreandel-T]])*100/R$439</f>
        <v>100</v>
      </c>
      <c r="AC24" s="7">
        <f>100-(S$436-Tabell2[[#This Row],[Sysselsettingsvekst10-T]])*100/S$439</f>
        <v>97.574606102403806</v>
      </c>
      <c r="AD24" s="7">
        <f>100-(T$436-Tabell2[[#This Row],[Yrkesaktivandel-T]])*100/T$439</f>
        <v>18.637632521518285</v>
      </c>
      <c r="AE24" s="7">
        <f>100-(U$436-Tabell2[[#This Row],[Inntekt-T]])*100/U$439</f>
        <v>82.146484595418116</v>
      </c>
      <c r="AF24" s="7">
        <v>20</v>
      </c>
      <c r="AG24" s="7">
        <v>10</v>
      </c>
      <c r="AH24" s="7">
        <v>10</v>
      </c>
      <c r="AI24" s="7">
        <v>20</v>
      </c>
      <c r="AJ24" s="7">
        <v>5</v>
      </c>
      <c r="AK24" s="7">
        <v>5</v>
      </c>
      <c r="AL24" s="7">
        <v>9.7574606102403809</v>
      </c>
      <c r="AM24" s="7">
        <v>1.8637632521518286</v>
      </c>
      <c r="AN24" s="7">
        <v>8.2146484595418112</v>
      </c>
      <c r="AO2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89.835872321934019</v>
      </c>
    </row>
    <row r="25" spans="1:41" x14ac:dyDescent="0.3">
      <c r="A25" s="2" t="s">
        <v>22</v>
      </c>
      <c r="B25">
        <f>'Rådata-K'!N24</f>
        <v>1</v>
      </c>
      <c r="C25" s="7">
        <f>'Rådata-K'!M24</f>
        <v>30.2166666667</v>
      </c>
      <c r="D25" s="24">
        <f>'Rådata-K'!O24</f>
        <v>185.32294249616248</v>
      </c>
      <c r="E25" s="24">
        <f>'Rådata-K'!P24</f>
        <v>183.13885647607935</v>
      </c>
      <c r="F25" s="24">
        <f>'Rådata-K'!Q24</f>
        <v>0.15531836584468173</v>
      </c>
      <c r="G25" s="24">
        <f>'Rådata-K'!R24</f>
        <v>9.9713284485504941E-2</v>
      </c>
      <c r="H25" s="24">
        <f>'Rådata-K'!S24</f>
        <v>0.16368270149729214</v>
      </c>
      <c r="I25" s="24">
        <f>'Rådata-K'!T24</f>
        <v>0.19240906694781224</v>
      </c>
      <c r="J25" s="24">
        <f>'Rådata-K'!U24</f>
        <v>0.87840997661730325</v>
      </c>
      <c r="K25" s="24">
        <f>'Rådata-K'!L24</f>
        <v>479500</v>
      </c>
      <c r="L25" s="24">
        <f>Tabell2[[#This Row],[NIBR11]]</f>
        <v>1</v>
      </c>
      <c r="M25" s="24">
        <f>IF(Tabell2[[#This Row],[ReisetidOslo]]&lt;=C$434,C$434,IF(Tabell2[[#This Row],[ReisetidOslo]]&gt;=C$435,C$435,Tabell2[[#This Row],[ReisetidOslo]]))</f>
        <v>52.54</v>
      </c>
      <c r="N25" s="24">
        <f>IF(Tabell2[[#This Row],[Beftettland]]&lt;=D$434,D$434,IF(Tabell2[[#This Row],[Beftettland]]&gt;=D$435,D$435,Tabell2[[#This Row],[Beftettland]]))</f>
        <v>136.59179999736304</v>
      </c>
      <c r="O25" s="24">
        <f>IF(Tabell2[[#This Row],[Beftettotal]]&lt;=E$434,E$434,IF(Tabell2[[#This Row],[Beftettotal]]&gt;=E$435,E$435,Tabell2[[#This Row],[Beftettotal]]))</f>
        <v>131.96212083018065</v>
      </c>
      <c r="P25" s="24">
        <f>IF(Tabell2[[#This Row],[Befvekst10]]&lt;=F$434,F$434,IF(Tabell2[[#This Row],[Befvekst10]]&gt;=F$435,F$435,Tabell2[[#This Row],[Befvekst10]]))</f>
        <v>0.15531836584468173</v>
      </c>
      <c r="Q25" s="24">
        <f>IF(Tabell2[[#This Row],[Kvinneandel]]&lt;=G$434,G$434,IF(Tabell2[[#This Row],[Kvinneandel]]&gt;=G$435,G$435,Tabell2[[#This Row],[Kvinneandel]]))</f>
        <v>9.9713284485504941E-2</v>
      </c>
      <c r="R25" s="24">
        <f>IF(Tabell2[[#This Row],[Eldreandel]]&lt;=H$434,H$434,IF(Tabell2[[#This Row],[Eldreandel]]&gt;=H$435,H$435,Tabell2[[#This Row],[Eldreandel]]))</f>
        <v>0.16368270149729214</v>
      </c>
      <c r="S25" s="24">
        <f>IF(Tabell2[[#This Row],[Sysselsettingsvekst10]]&lt;=I$434,I$434,IF(Tabell2[[#This Row],[Sysselsettingsvekst10]]&gt;=I$435,I$435,Tabell2[[#This Row],[Sysselsettingsvekst10]]))</f>
        <v>0.19240906694781224</v>
      </c>
      <c r="T25" s="24">
        <f>IF(Tabell2[[#This Row],[Yrkesaktivandel]]&lt;=J$434,J$434,IF(Tabell2[[#This Row],[Yrkesaktivandel]]&gt;=J$435,J$435,Tabell2[[#This Row],[Yrkesaktivandel]]))</f>
        <v>0.87840997661730325</v>
      </c>
      <c r="U25" s="24">
        <f>IF(Tabell2[[#This Row],[Inntekt]]&lt;=K$434,K$434,IF(Tabell2[[#This Row],[Inntekt]]&gt;=K$435,K$435,Tabell2[[#This Row],[Inntekt]]))</f>
        <v>433020</v>
      </c>
      <c r="V25" s="7">
        <f>IF(Tabell2[[#This Row],[NIBR11-T]]&lt;=L$437,100,IF(Tabell2[[#This Row],[NIBR11-T]]&gt;=L$436,0,100*(L$436-Tabell2[[#This Row],[NIBR11-T]])/L$439))</f>
        <v>100</v>
      </c>
      <c r="W25" s="7">
        <f>(M$436-Tabell2[[#This Row],[ReisetidOslo-T]])*100/M$439</f>
        <v>100</v>
      </c>
      <c r="X25" s="7">
        <f>100-(N$436-Tabell2[[#This Row],[Beftettland-T]])*100/N$439</f>
        <v>100</v>
      </c>
      <c r="Y25" s="7">
        <f>100-(O$436-Tabell2[[#This Row],[Beftettotal-T]])*100/O$439</f>
        <v>100</v>
      </c>
      <c r="Z25" s="7">
        <f>100-(P$436-Tabell2[[#This Row],[Befvekst10-T]])*100/P$439</f>
        <v>91.630304151596548</v>
      </c>
      <c r="AA25" s="7">
        <f>100-(Q$436-Tabell2[[#This Row],[Kvinneandel-T]])*100/Q$439</f>
        <v>26.773522326927178</v>
      </c>
      <c r="AB25" s="7">
        <f>(R$436-Tabell2[[#This Row],[Eldreandel-T]])*100/R$439</f>
        <v>61.135748869485994</v>
      </c>
      <c r="AC25" s="7">
        <f>100-(S$436-Tabell2[[#This Row],[Sysselsettingsvekst10-T]])*100/S$439</f>
        <v>93.003356951525035</v>
      </c>
      <c r="AD25" s="7">
        <f>100-(T$436-Tabell2[[#This Row],[Yrkesaktivandel-T]])*100/T$439</f>
        <v>56.088992343503115</v>
      </c>
      <c r="AE25" s="7">
        <f>100-(U$436-Tabell2[[#This Row],[Inntekt-T]])*100/U$439</f>
        <v>100</v>
      </c>
      <c r="AF25" s="7">
        <v>20</v>
      </c>
      <c r="AG25" s="7">
        <v>10</v>
      </c>
      <c r="AH25" s="7">
        <v>10</v>
      </c>
      <c r="AI25" s="7">
        <v>18.32606083031931</v>
      </c>
      <c r="AJ25" s="7">
        <v>1.338676116346359</v>
      </c>
      <c r="AK25" s="7">
        <v>3.0567874434742999</v>
      </c>
      <c r="AL25" s="7">
        <v>9.3003356951525031</v>
      </c>
      <c r="AM25" s="7">
        <v>5.6088992343503117</v>
      </c>
      <c r="AN25" s="7">
        <v>10</v>
      </c>
      <c r="AO2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87.630759319642777</v>
      </c>
    </row>
    <row r="26" spans="1:41" x14ac:dyDescent="0.3">
      <c r="A26" s="2" t="s">
        <v>23</v>
      </c>
      <c r="B26">
        <f>'Rådata-K'!N25</f>
        <v>1</v>
      </c>
      <c r="C26" s="7">
        <f>'Rådata-K'!M25</f>
        <v>40.9</v>
      </c>
      <c r="D26" s="24">
        <f>'Rådata-K'!O25</f>
        <v>306.60190977938754</v>
      </c>
      <c r="E26" s="24">
        <f>'Rådata-K'!P25</f>
        <v>303.01008786202408</v>
      </c>
      <c r="F26" s="24">
        <f>'Rådata-K'!Q25</f>
        <v>0.12586905265703408</v>
      </c>
      <c r="G26" s="24">
        <f>'Rådata-K'!R25</f>
        <v>0.10771626483380765</v>
      </c>
      <c r="H26" s="24">
        <f>'Rådata-K'!S25</f>
        <v>0.12769156419481287</v>
      </c>
      <c r="I26" s="24">
        <f>'Rådata-K'!T25</f>
        <v>0.12205567451820132</v>
      </c>
      <c r="J26" s="24">
        <f>'Rådata-K'!U25</f>
        <v>0.86307550644567221</v>
      </c>
      <c r="K26" s="24">
        <f>'Rådata-K'!L25</f>
        <v>450100</v>
      </c>
      <c r="L26" s="24">
        <f>Tabell2[[#This Row],[NIBR11]]</f>
        <v>1</v>
      </c>
      <c r="M26" s="24">
        <f>IF(Tabell2[[#This Row],[ReisetidOslo]]&lt;=C$434,C$434,IF(Tabell2[[#This Row],[ReisetidOslo]]&gt;=C$435,C$435,Tabell2[[#This Row],[ReisetidOslo]]))</f>
        <v>52.54</v>
      </c>
      <c r="N26" s="24">
        <f>IF(Tabell2[[#This Row],[Beftettland]]&lt;=D$434,D$434,IF(Tabell2[[#This Row],[Beftettland]]&gt;=D$435,D$435,Tabell2[[#This Row],[Beftettland]]))</f>
        <v>136.59179999736304</v>
      </c>
      <c r="O26" s="24">
        <f>IF(Tabell2[[#This Row],[Beftettotal]]&lt;=E$434,E$434,IF(Tabell2[[#This Row],[Beftettotal]]&gt;=E$435,E$435,Tabell2[[#This Row],[Beftettotal]]))</f>
        <v>131.96212083018065</v>
      </c>
      <c r="P26" s="24">
        <f>IF(Tabell2[[#This Row],[Befvekst10]]&lt;=F$434,F$434,IF(Tabell2[[#This Row],[Befvekst10]]&gt;=F$435,F$435,Tabell2[[#This Row],[Befvekst10]]))</f>
        <v>0.12586905265703408</v>
      </c>
      <c r="Q26" s="24">
        <f>IF(Tabell2[[#This Row],[Kvinneandel]]&lt;=G$434,G$434,IF(Tabell2[[#This Row],[Kvinneandel]]&gt;=G$435,G$435,Tabell2[[#This Row],[Kvinneandel]]))</f>
        <v>0.10771626483380765</v>
      </c>
      <c r="R26" s="24">
        <f>IF(Tabell2[[#This Row],[Eldreandel]]&lt;=H$434,H$434,IF(Tabell2[[#This Row],[Eldreandel]]&gt;=H$435,H$435,Tabell2[[#This Row],[Eldreandel]]))</f>
        <v>0.12769156419481287</v>
      </c>
      <c r="S26" s="24">
        <f>IF(Tabell2[[#This Row],[Sysselsettingsvekst10]]&lt;=I$434,I$434,IF(Tabell2[[#This Row],[Sysselsettingsvekst10]]&gt;=I$435,I$435,Tabell2[[#This Row],[Sysselsettingsvekst10]]))</f>
        <v>0.12205567451820132</v>
      </c>
      <c r="T26" s="24">
        <f>IF(Tabell2[[#This Row],[Yrkesaktivandel]]&lt;=J$434,J$434,IF(Tabell2[[#This Row],[Yrkesaktivandel]]&gt;=J$435,J$435,Tabell2[[#This Row],[Yrkesaktivandel]]))</f>
        <v>0.86307550644567221</v>
      </c>
      <c r="U26" s="24">
        <f>IF(Tabell2[[#This Row],[Inntekt]]&lt;=K$434,K$434,IF(Tabell2[[#This Row],[Inntekt]]&gt;=K$435,K$435,Tabell2[[#This Row],[Inntekt]]))</f>
        <v>433020</v>
      </c>
      <c r="V26" s="7">
        <f>IF(Tabell2[[#This Row],[NIBR11-T]]&lt;=L$437,100,IF(Tabell2[[#This Row],[NIBR11-T]]&gt;=L$436,0,100*(L$436-Tabell2[[#This Row],[NIBR11-T]])/L$439))</f>
        <v>100</v>
      </c>
      <c r="W26" s="7">
        <f>(M$436-Tabell2[[#This Row],[ReisetidOslo-T]])*100/M$439</f>
        <v>100</v>
      </c>
      <c r="X26" s="7">
        <f>100-(N$436-Tabell2[[#This Row],[Beftettland-T]])*100/N$439</f>
        <v>100</v>
      </c>
      <c r="Y26" s="7">
        <f>100-(O$436-Tabell2[[#This Row],[Beftettotal-T]])*100/O$439</f>
        <v>100</v>
      </c>
      <c r="Z26" s="7">
        <f>100-(P$436-Tabell2[[#This Row],[Befvekst10-T]])*100/P$439</f>
        <v>79.710369173046601</v>
      </c>
      <c r="AA26" s="7">
        <f>100-(Q$436-Tabell2[[#This Row],[Kvinneandel-T]])*100/Q$439</f>
        <v>47.797778030088701</v>
      </c>
      <c r="AB26" s="7">
        <f>(R$436-Tabell2[[#This Row],[Eldreandel-T]])*100/R$439</f>
        <v>99.979357778939331</v>
      </c>
      <c r="AC26" s="7">
        <f>100-(S$436-Tabell2[[#This Row],[Sysselsettingsvekst10-T]])*100/S$439</f>
        <v>70.043435813582448</v>
      </c>
      <c r="AD26" s="7">
        <f>100-(T$436-Tabell2[[#This Row],[Yrkesaktivandel-T]])*100/T$439</f>
        <v>45.273685261162463</v>
      </c>
      <c r="AE26" s="7">
        <f>100-(U$436-Tabell2[[#This Row],[Inntekt-T]])*100/U$439</f>
        <v>100</v>
      </c>
      <c r="AF26" s="7">
        <v>20</v>
      </c>
      <c r="AG26" s="7">
        <v>10</v>
      </c>
      <c r="AH26" s="7">
        <v>10</v>
      </c>
      <c r="AI26" s="7">
        <v>15.942073834609321</v>
      </c>
      <c r="AJ26" s="7">
        <v>2.3898889015044351</v>
      </c>
      <c r="AK26" s="7">
        <v>4.9989678889469671</v>
      </c>
      <c r="AL26" s="7">
        <v>7.0043435813582455</v>
      </c>
      <c r="AM26" s="7">
        <v>4.5273685261162466</v>
      </c>
      <c r="AN26" s="7">
        <v>10</v>
      </c>
      <c r="AO2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84.862642732535207</v>
      </c>
    </row>
    <row r="27" spans="1:41" x14ac:dyDescent="0.3">
      <c r="A27" s="2" t="s">
        <v>24</v>
      </c>
      <c r="B27">
        <f>'Rådata-K'!N26</f>
        <v>1</v>
      </c>
      <c r="C27" s="7">
        <f>'Rådata-K'!M26</f>
        <v>13.666666666699999</v>
      </c>
      <c r="D27" s="24">
        <f>'Rådata-K'!O26</f>
        <v>781.79165450831624</v>
      </c>
      <c r="E27" s="24">
        <f>'Rådata-K'!P26</f>
        <v>723.32613390928714</v>
      </c>
      <c r="F27" s="24">
        <f>'Rådata-K'!Q26</f>
        <v>0.12114491358747959</v>
      </c>
      <c r="G27" s="24">
        <f>'Rådata-K'!R26</f>
        <v>0.10585249328157659</v>
      </c>
      <c r="H27" s="24">
        <f>'Rådata-K'!S26</f>
        <v>0.14885040310540459</v>
      </c>
      <c r="I27" s="24">
        <f>'Rådata-K'!T26</f>
        <v>0.12760326774824526</v>
      </c>
      <c r="J27" s="24">
        <f>'Rådata-K'!U26</f>
        <v>0.88035032266561308</v>
      </c>
      <c r="K27" s="24">
        <f>'Rådata-K'!L26</f>
        <v>500500</v>
      </c>
      <c r="L27" s="24">
        <f>Tabell2[[#This Row],[NIBR11]]</f>
        <v>1</v>
      </c>
      <c r="M27" s="24">
        <f>IF(Tabell2[[#This Row],[ReisetidOslo]]&lt;=C$434,C$434,IF(Tabell2[[#This Row],[ReisetidOslo]]&gt;=C$435,C$435,Tabell2[[#This Row],[ReisetidOslo]]))</f>
        <v>52.54</v>
      </c>
      <c r="N27" s="24">
        <f>IF(Tabell2[[#This Row],[Beftettland]]&lt;=D$434,D$434,IF(Tabell2[[#This Row],[Beftettland]]&gt;=D$435,D$435,Tabell2[[#This Row],[Beftettland]]))</f>
        <v>136.59179999736304</v>
      </c>
      <c r="O27" s="24">
        <f>IF(Tabell2[[#This Row],[Beftettotal]]&lt;=E$434,E$434,IF(Tabell2[[#This Row],[Beftettotal]]&gt;=E$435,E$435,Tabell2[[#This Row],[Beftettotal]]))</f>
        <v>131.96212083018065</v>
      </c>
      <c r="P27" s="24">
        <f>IF(Tabell2[[#This Row],[Befvekst10]]&lt;=F$434,F$434,IF(Tabell2[[#This Row],[Befvekst10]]&gt;=F$435,F$435,Tabell2[[#This Row],[Befvekst10]]))</f>
        <v>0.12114491358747959</v>
      </c>
      <c r="Q27" s="24">
        <f>IF(Tabell2[[#This Row],[Kvinneandel]]&lt;=G$434,G$434,IF(Tabell2[[#This Row],[Kvinneandel]]&gt;=G$435,G$435,Tabell2[[#This Row],[Kvinneandel]]))</f>
        <v>0.10585249328157659</v>
      </c>
      <c r="R27" s="24">
        <f>IF(Tabell2[[#This Row],[Eldreandel]]&lt;=H$434,H$434,IF(Tabell2[[#This Row],[Eldreandel]]&gt;=H$435,H$435,Tabell2[[#This Row],[Eldreandel]]))</f>
        <v>0.14885040310540459</v>
      </c>
      <c r="S27" s="24">
        <f>IF(Tabell2[[#This Row],[Sysselsettingsvekst10]]&lt;=I$434,I$434,IF(Tabell2[[#This Row],[Sysselsettingsvekst10]]&gt;=I$435,I$435,Tabell2[[#This Row],[Sysselsettingsvekst10]]))</f>
        <v>0.12760326774824526</v>
      </c>
      <c r="T27" s="24">
        <f>IF(Tabell2[[#This Row],[Yrkesaktivandel]]&lt;=J$434,J$434,IF(Tabell2[[#This Row],[Yrkesaktivandel]]&gt;=J$435,J$435,Tabell2[[#This Row],[Yrkesaktivandel]]))</f>
        <v>0.88035032266561308</v>
      </c>
      <c r="U27" s="24">
        <f>IF(Tabell2[[#This Row],[Inntekt]]&lt;=K$434,K$434,IF(Tabell2[[#This Row],[Inntekt]]&gt;=K$435,K$435,Tabell2[[#This Row],[Inntekt]]))</f>
        <v>433020</v>
      </c>
      <c r="V27" s="7">
        <f>IF(Tabell2[[#This Row],[NIBR11-T]]&lt;=L$437,100,IF(Tabell2[[#This Row],[NIBR11-T]]&gt;=L$436,0,100*(L$436-Tabell2[[#This Row],[NIBR11-T]])/L$439))</f>
        <v>100</v>
      </c>
      <c r="W27" s="7">
        <f>(M$436-Tabell2[[#This Row],[ReisetidOslo-T]])*100/M$439</f>
        <v>100</v>
      </c>
      <c r="X27" s="7">
        <f>100-(N$436-Tabell2[[#This Row],[Beftettland-T]])*100/N$439</f>
        <v>100</v>
      </c>
      <c r="Y27" s="7">
        <f>100-(O$436-Tabell2[[#This Row],[Beftettotal-T]])*100/O$439</f>
        <v>100</v>
      </c>
      <c r="Z27" s="7">
        <f>100-(P$436-Tabell2[[#This Row],[Befvekst10-T]])*100/P$439</f>
        <v>77.798221674736311</v>
      </c>
      <c r="AA27" s="7">
        <f>100-(Q$436-Tabell2[[#This Row],[Kvinneandel-T]])*100/Q$439</f>
        <v>42.901550877076325</v>
      </c>
      <c r="AB27" s="7">
        <f>(R$436-Tabell2[[#This Row],[Eldreandel-T]])*100/R$439</f>
        <v>77.143578606033543</v>
      </c>
      <c r="AC27" s="7">
        <f>100-(S$436-Tabell2[[#This Row],[Sysselsettingsvekst10-T]])*100/S$439</f>
        <v>71.853900080740999</v>
      </c>
      <c r="AD27" s="7">
        <f>100-(T$436-Tabell2[[#This Row],[Yrkesaktivandel-T]])*100/T$439</f>
        <v>57.45750642475911</v>
      </c>
      <c r="AE27" s="7">
        <f>100-(U$436-Tabell2[[#This Row],[Inntekt-T]])*100/U$439</f>
        <v>100</v>
      </c>
      <c r="AF27" s="7">
        <v>20</v>
      </c>
      <c r="AG27" s="7">
        <v>10</v>
      </c>
      <c r="AH27" s="7">
        <v>10</v>
      </c>
      <c r="AI27" s="7">
        <v>15.559644334947263</v>
      </c>
      <c r="AJ27" s="7">
        <v>2.1450775438538163</v>
      </c>
      <c r="AK27" s="7">
        <v>3.8571789303016772</v>
      </c>
      <c r="AL27" s="7">
        <v>7.1853900080741004</v>
      </c>
      <c r="AM27" s="7">
        <v>5.7457506424759117</v>
      </c>
      <c r="AN27" s="7">
        <v>10</v>
      </c>
      <c r="AO2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84.493041459652773</v>
      </c>
    </row>
    <row r="28" spans="1:41" x14ac:dyDescent="0.3">
      <c r="A28" s="2" t="s">
        <v>25</v>
      </c>
      <c r="B28">
        <f>'Rådata-K'!N27</f>
        <v>1</v>
      </c>
      <c r="C28" s="7">
        <f>'Rådata-K'!M27</f>
        <v>11.8</v>
      </c>
      <c r="D28" s="24">
        <f>'Rådata-K'!O27</f>
        <v>648.23566811486694</v>
      </c>
      <c r="E28" s="24">
        <f>'Rådata-K'!P27</f>
        <v>636.3674191199417</v>
      </c>
      <c r="F28" s="24">
        <f>'Rådata-K'!Q27</f>
        <v>0.1550109508345292</v>
      </c>
      <c r="G28" s="24">
        <f>'Rådata-K'!R27</f>
        <v>0.11754993951678817</v>
      </c>
      <c r="H28" s="24">
        <f>'Rådata-K'!S27</f>
        <v>0.13977343315787752</v>
      </c>
      <c r="I28" s="24">
        <f>'Rådata-K'!T27</f>
        <v>0.1676077901980475</v>
      </c>
      <c r="J28" s="24">
        <f>'Rådata-K'!U27</f>
        <v>0.86429260267755847</v>
      </c>
      <c r="K28" s="24">
        <f>'Rådata-K'!L27</f>
        <v>572300</v>
      </c>
      <c r="L28" s="24">
        <f>Tabell2[[#This Row],[NIBR11]]</f>
        <v>1</v>
      </c>
      <c r="M28" s="24">
        <f>IF(Tabell2[[#This Row],[ReisetidOslo]]&lt;=C$434,C$434,IF(Tabell2[[#This Row],[ReisetidOslo]]&gt;=C$435,C$435,Tabell2[[#This Row],[ReisetidOslo]]))</f>
        <v>52.54</v>
      </c>
      <c r="N28" s="24">
        <f>IF(Tabell2[[#This Row],[Beftettland]]&lt;=D$434,D$434,IF(Tabell2[[#This Row],[Beftettland]]&gt;=D$435,D$435,Tabell2[[#This Row],[Beftettland]]))</f>
        <v>136.59179999736304</v>
      </c>
      <c r="O28" s="24">
        <f>IF(Tabell2[[#This Row],[Beftettotal]]&lt;=E$434,E$434,IF(Tabell2[[#This Row],[Beftettotal]]&gt;=E$435,E$435,Tabell2[[#This Row],[Beftettotal]]))</f>
        <v>131.96212083018065</v>
      </c>
      <c r="P28" s="24">
        <f>IF(Tabell2[[#This Row],[Befvekst10]]&lt;=F$434,F$434,IF(Tabell2[[#This Row],[Befvekst10]]&gt;=F$435,F$435,Tabell2[[#This Row],[Befvekst10]]))</f>
        <v>0.1550109508345292</v>
      </c>
      <c r="Q28" s="24">
        <f>IF(Tabell2[[#This Row],[Kvinneandel]]&lt;=G$434,G$434,IF(Tabell2[[#This Row],[Kvinneandel]]&gt;=G$435,G$435,Tabell2[[#This Row],[Kvinneandel]]))</f>
        <v>0.11754993951678817</v>
      </c>
      <c r="R28" s="24">
        <f>IF(Tabell2[[#This Row],[Eldreandel]]&lt;=H$434,H$434,IF(Tabell2[[#This Row],[Eldreandel]]&gt;=H$435,H$435,Tabell2[[#This Row],[Eldreandel]]))</f>
        <v>0.13977343315787752</v>
      </c>
      <c r="S28" s="24">
        <f>IF(Tabell2[[#This Row],[Sysselsettingsvekst10]]&lt;=I$434,I$434,IF(Tabell2[[#This Row],[Sysselsettingsvekst10]]&gt;=I$435,I$435,Tabell2[[#This Row],[Sysselsettingsvekst10]]))</f>
        <v>0.1676077901980475</v>
      </c>
      <c r="T28" s="24">
        <f>IF(Tabell2[[#This Row],[Yrkesaktivandel]]&lt;=J$434,J$434,IF(Tabell2[[#This Row],[Yrkesaktivandel]]&gt;=J$435,J$435,Tabell2[[#This Row],[Yrkesaktivandel]]))</f>
        <v>0.86429260267755847</v>
      </c>
      <c r="U28" s="24">
        <f>IF(Tabell2[[#This Row],[Inntekt]]&lt;=K$434,K$434,IF(Tabell2[[#This Row],[Inntekt]]&gt;=K$435,K$435,Tabell2[[#This Row],[Inntekt]]))</f>
        <v>433020</v>
      </c>
      <c r="V28" s="7">
        <f>IF(Tabell2[[#This Row],[NIBR11-T]]&lt;=L$437,100,IF(Tabell2[[#This Row],[NIBR11-T]]&gt;=L$436,0,100*(L$436-Tabell2[[#This Row],[NIBR11-T]])/L$439))</f>
        <v>100</v>
      </c>
      <c r="W28" s="7">
        <f>(M$436-Tabell2[[#This Row],[ReisetidOslo-T]])*100/M$439</f>
        <v>100</v>
      </c>
      <c r="X28" s="7">
        <f>100-(N$436-Tabell2[[#This Row],[Beftettland-T]])*100/N$439</f>
        <v>100</v>
      </c>
      <c r="Y28" s="7">
        <f>100-(O$436-Tabell2[[#This Row],[Beftettotal-T]])*100/O$439</f>
        <v>100</v>
      </c>
      <c r="Z28" s="7">
        <f>100-(P$436-Tabell2[[#This Row],[Befvekst10-T]])*100/P$439</f>
        <v>91.505874528769709</v>
      </c>
      <c r="AA28" s="7">
        <f>100-(Q$436-Tabell2[[#This Row],[Kvinneandel-T]])*100/Q$439</f>
        <v>73.631365273687919</v>
      </c>
      <c r="AB28" s="7">
        <f>(R$436-Tabell2[[#This Row],[Eldreandel-T]])*100/R$439</f>
        <v>86.939942298611697</v>
      </c>
      <c r="AC28" s="7">
        <f>100-(S$436-Tabell2[[#This Row],[Sysselsettingsvekst10-T]])*100/S$439</f>
        <v>84.909428021735167</v>
      </c>
      <c r="AD28" s="7">
        <f>100-(T$436-Tabell2[[#This Row],[Yrkesaktivandel-T]])*100/T$439</f>
        <v>46.13209571481881</v>
      </c>
      <c r="AE28" s="7">
        <f>100-(U$436-Tabell2[[#This Row],[Inntekt-T]])*100/U$439</f>
        <v>100</v>
      </c>
      <c r="AF28" s="7">
        <v>20</v>
      </c>
      <c r="AG28" s="7">
        <v>10</v>
      </c>
      <c r="AH28" s="7">
        <v>10</v>
      </c>
      <c r="AI28" s="7">
        <v>18.301174905753943</v>
      </c>
      <c r="AJ28" s="7">
        <v>3.681568263684396</v>
      </c>
      <c r="AK28" s="7">
        <v>4.346997114930585</v>
      </c>
      <c r="AL28" s="7">
        <v>8.4909428021735174</v>
      </c>
      <c r="AM28" s="7">
        <v>4.6132095714818808</v>
      </c>
      <c r="AN28" s="7">
        <v>10</v>
      </c>
      <c r="AO2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89.43389265802432</v>
      </c>
    </row>
    <row r="29" spans="1:41" x14ac:dyDescent="0.3">
      <c r="A29" s="2" t="s">
        <v>26</v>
      </c>
      <c r="B29">
        <f>'Rådata-K'!N28</f>
        <v>1</v>
      </c>
      <c r="C29" s="7">
        <f>'Rådata-K'!M28</f>
        <v>17.2</v>
      </c>
      <c r="D29" s="24">
        <f>'Rådata-K'!O28</f>
        <v>620.6732755059893</v>
      </c>
      <c r="E29" s="24">
        <f>'Rådata-K'!P28</f>
        <v>596.82255982524077</v>
      </c>
      <c r="F29" s="24">
        <f>'Rådata-K'!Q28</f>
        <v>0.16746950508895964</v>
      </c>
      <c r="G29" s="24">
        <f>'Rådata-K'!R28</f>
        <v>0.11469736798322963</v>
      </c>
      <c r="H29" s="24">
        <f>'Rådata-K'!S28</f>
        <v>0.1350114797191628</v>
      </c>
      <c r="I29" s="24">
        <f>'Rådata-K'!T28</f>
        <v>0.16802037142731696</v>
      </c>
      <c r="J29" s="24">
        <f>'Rådata-K'!U28</f>
        <v>0.86655864822637574</v>
      </c>
      <c r="K29" s="24">
        <f>'Rådata-K'!L28</f>
        <v>554700</v>
      </c>
      <c r="L29" s="24">
        <f>Tabell2[[#This Row],[NIBR11]]</f>
        <v>1</v>
      </c>
      <c r="M29" s="24">
        <f>IF(Tabell2[[#This Row],[ReisetidOslo]]&lt;=C$434,C$434,IF(Tabell2[[#This Row],[ReisetidOslo]]&gt;=C$435,C$435,Tabell2[[#This Row],[ReisetidOslo]]))</f>
        <v>52.54</v>
      </c>
      <c r="N29" s="24">
        <f>IF(Tabell2[[#This Row],[Beftettland]]&lt;=D$434,D$434,IF(Tabell2[[#This Row],[Beftettland]]&gt;=D$435,D$435,Tabell2[[#This Row],[Beftettland]]))</f>
        <v>136.59179999736304</v>
      </c>
      <c r="O29" s="24">
        <f>IF(Tabell2[[#This Row],[Beftettotal]]&lt;=E$434,E$434,IF(Tabell2[[#This Row],[Beftettotal]]&gt;=E$435,E$435,Tabell2[[#This Row],[Beftettotal]]))</f>
        <v>131.96212083018065</v>
      </c>
      <c r="P29" s="24">
        <f>IF(Tabell2[[#This Row],[Befvekst10]]&lt;=F$434,F$434,IF(Tabell2[[#This Row],[Befvekst10]]&gt;=F$435,F$435,Tabell2[[#This Row],[Befvekst10]]))</f>
        <v>0.16746950508895964</v>
      </c>
      <c r="Q29" s="24">
        <f>IF(Tabell2[[#This Row],[Kvinneandel]]&lt;=G$434,G$434,IF(Tabell2[[#This Row],[Kvinneandel]]&gt;=G$435,G$435,Tabell2[[#This Row],[Kvinneandel]]))</f>
        <v>0.11469736798322963</v>
      </c>
      <c r="R29" s="24">
        <f>IF(Tabell2[[#This Row],[Eldreandel]]&lt;=H$434,H$434,IF(Tabell2[[#This Row],[Eldreandel]]&gt;=H$435,H$435,Tabell2[[#This Row],[Eldreandel]]))</f>
        <v>0.1350114797191628</v>
      </c>
      <c r="S29" s="24">
        <f>IF(Tabell2[[#This Row],[Sysselsettingsvekst10]]&lt;=I$434,I$434,IF(Tabell2[[#This Row],[Sysselsettingsvekst10]]&gt;=I$435,I$435,Tabell2[[#This Row],[Sysselsettingsvekst10]]))</f>
        <v>0.16802037142731696</v>
      </c>
      <c r="T29" s="24">
        <f>IF(Tabell2[[#This Row],[Yrkesaktivandel]]&lt;=J$434,J$434,IF(Tabell2[[#This Row],[Yrkesaktivandel]]&gt;=J$435,J$435,Tabell2[[#This Row],[Yrkesaktivandel]]))</f>
        <v>0.86655864822637574</v>
      </c>
      <c r="U29" s="24">
        <f>IF(Tabell2[[#This Row],[Inntekt]]&lt;=K$434,K$434,IF(Tabell2[[#This Row],[Inntekt]]&gt;=K$435,K$435,Tabell2[[#This Row],[Inntekt]]))</f>
        <v>433020</v>
      </c>
      <c r="V29" s="7">
        <f>IF(Tabell2[[#This Row],[NIBR11-T]]&lt;=L$437,100,IF(Tabell2[[#This Row],[NIBR11-T]]&gt;=L$436,0,100*(L$436-Tabell2[[#This Row],[NIBR11-T]])/L$439))</f>
        <v>100</v>
      </c>
      <c r="W29" s="7">
        <f>(M$436-Tabell2[[#This Row],[ReisetidOslo-T]])*100/M$439</f>
        <v>100</v>
      </c>
      <c r="X29" s="7">
        <f>100-(N$436-Tabell2[[#This Row],[Beftettland-T]])*100/N$439</f>
        <v>100</v>
      </c>
      <c r="Y29" s="7">
        <f>100-(O$436-Tabell2[[#This Row],[Beftettotal-T]])*100/O$439</f>
        <v>100</v>
      </c>
      <c r="Z29" s="7">
        <f>100-(P$436-Tabell2[[#This Row],[Befvekst10-T]])*100/P$439</f>
        <v>96.548612051824648</v>
      </c>
      <c r="AA29" s="7">
        <f>100-(Q$436-Tabell2[[#This Row],[Kvinneandel-T]])*100/Q$439</f>
        <v>66.137507895190964</v>
      </c>
      <c r="AB29" s="7">
        <f>(R$436-Tabell2[[#This Row],[Eldreandel-T]])*100/R$439</f>
        <v>92.07930356591234</v>
      </c>
      <c r="AC29" s="7">
        <f>100-(S$436-Tabell2[[#This Row],[Sysselsettingsvekst10-T]])*100/S$439</f>
        <v>85.044074442609599</v>
      </c>
      <c r="AD29" s="7">
        <f>100-(T$436-Tabell2[[#This Row],[Yrkesaktivandel-T]])*100/T$439</f>
        <v>47.730323641752335</v>
      </c>
      <c r="AE29" s="7">
        <f>100-(U$436-Tabell2[[#This Row],[Inntekt-T]])*100/U$439</f>
        <v>100</v>
      </c>
      <c r="AF29" s="7">
        <v>20</v>
      </c>
      <c r="AG29" s="7">
        <v>10</v>
      </c>
      <c r="AH29" s="7">
        <v>10</v>
      </c>
      <c r="AI29" s="7">
        <v>19.30972241036493</v>
      </c>
      <c r="AJ29" s="7">
        <v>3.3068753947595484</v>
      </c>
      <c r="AK29" s="7">
        <v>4.603965178295617</v>
      </c>
      <c r="AL29" s="7">
        <v>8.504407444260961</v>
      </c>
      <c r="AM29" s="7">
        <v>4.7730323641752337</v>
      </c>
      <c r="AN29" s="7">
        <v>10</v>
      </c>
      <c r="AO2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90.498002791856294</v>
      </c>
    </row>
    <row r="30" spans="1:41" x14ac:dyDescent="0.3">
      <c r="A30" s="2" t="s">
        <v>27</v>
      </c>
      <c r="B30">
        <f>'Rådata-K'!N29</f>
        <v>1</v>
      </c>
      <c r="C30" s="7">
        <f>'Rådata-K'!M29</f>
        <v>46.366666666699999</v>
      </c>
      <c r="D30" s="24">
        <f>'Rådata-K'!O29</f>
        <v>17.807268821054517</v>
      </c>
      <c r="E30" s="24">
        <f>'Rådata-K'!P29</f>
        <v>16.548468273610215</v>
      </c>
      <c r="F30" s="24">
        <f>'Rådata-K'!Q29</f>
        <v>0.18947604454742506</v>
      </c>
      <c r="G30" s="24">
        <f>'Rådata-K'!R29</f>
        <v>0.11367349503581752</v>
      </c>
      <c r="H30" s="24">
        <f>'Rådata-K'!S29</f>
        <v>0.16029910770390851</v>
      </c>
      <c r="I30" s="24">
        <f>'Rådata-K'!T29</f>
        <v>0.10597826086956519</v>
      </c>
      <c r="J30" s="24">
        <f>'Rådata-K'!U29</f>
        <v>0.84982638888888884</v>
      </c>
      <c r="K30" s="24">
        <f>'Rådata-K'!L29</f>
        <v>378600</v>
      </c>
      <c r="L30" s="24">
        <f>Tabell2[[#This Row],[NIBR11]]</f>
        <v>1</v>
      </c>
      <c r="M30" s="24">
        <f>IF(Tabell2[[#This Row],[ReisetidOslo]]&lt;=C$434,C$434,IF(Tabell2[[#This Row],[ReisetidOslo]]&gt;=C$435,C$435,Tabell2[[#This Row],[ReisetidOslo]]))</f>
        <v>52.54</v>
      </c>
      <c r="N30" s="24">
        <f>IF(Tabell2[[#This Row],[Beftettland]]&lt;=D$434,D$434,IF(Tabell2[[#This Row],[Beftettland]]&gt;=D$435,D$435,Tabell2[[#This Row],[Beftettland]]))</f>
        <v>17.807268821054517</v>
      </c>
      <c r="O30" s="24">
        <f>IF(Tabell2[[#This Row],[Beftettotal]]&lt;=E$434,E$434,IF(Tabell2[[#This Row],[Beftettotal]]&gt;=E$435,E$435,Tabell2[[#This Row],[Beftettotal]]))</f>
        <v>16.548468273610215</v>
      </c>
      <c r="P30" s="24">
        <f>IF(Tabell2[[#This Row],[Befvekst10]]&lt;=F$434,F$434,IF(Tabell2[[#This Row],[Befvekst10]]&gt;=F$435,F$435,Tabell2[[#This Row],[Befvekst10]]))</f>
        <v>0.17599648151968622</v>
      </c>
      <c r="Q30" s="24">
        <f>IF(Tabell2[[#This Row],[Kvinneandel]]&lt;=G$434,G$434,IF(Tabell2[[#This Row],[Kvinneandel]]&gt;=G$435,G$435,Tabell2[[#This Row],[Kvinneandel]]))</f>
        <v>0.11367349503581752</v>
      </c>
      <c r="R30" s="24">
        <f>IF(Tabell2[[#This Row],[Eldreandel]]&lt;=H$434,H$434,IF(Tabell2[[#This Row],[Eldreandel]]&gt;=H$435,H$435,Tabell2[[#This Row],[Eldreandel]]))</f>
        <v>0.16029910770390851</v>
      </c>
      <c r="S30" s="24">
        <f>IF(Tabell2[[#This Row],[Sysselsettingsvekst10]]&lt;=I$434,I$434,IF(Tabell2[[#This Row],[Sysselsettingsvekst10]]&gt;=I$435,I$435,Tabell2[[#This Row],[Sysselsettingsvekst10]]))</f>
        <v>0.10597826086956519</v>
      </c>
      <c r="T30" s="24">
        <f>IF(Tabell2[[#This Row],[Yrkesaktivandel]]&lt;=J$434,J$434,IF(Tabell2[[#This Row],[Yrkesaktivandel]]&gt;=J$435,J$435,Tabell2[[#This Row],[Yrkesaktivandel]]))</f>
        <v>0.84982638888888884</v>
      </c>
      <c r="U30" s="24">
        <f>IF(Tabell2[[#This Row],[Inntekt]]&lt;=K$434,K$434,IF(Tabell2[[#This Row],[Inntekt]]&gt;=K$435,K$435,Tabell2[[#This Row],[Inntekt]]))</f>
        <v>378600</v>
      </c>
      <c r="V30" s="7">
        <f>IF(Tabell2[[#This Row],[NIBR11-T]]&lt;=L$437,100,IF(Tabell2[[#This Row],[NIBR11-T]]&gt;=L$436,0,100*(L$436-Tabell2[[#This Row],[NIBR11-T]])/L$439))</f>
        <v>100</v>
      </c>
      <c r="W30" s="7">
        <f>(M$436-Tabell2[[#This Row],[ReisetidOslo-T]])*100/M$439</f>
        <v>100</v>
      </c>
      <c r="X30" s="7">
        <f>100-(N$436-Tabell2[[#This Row],[Beftettland-T]])*100/N$439</f>
        <v>12.134637569597047</v>
      </c>
      <c r="Y30" s="7">
        <f>100-(O$436-Tabell2[[#This Row],[Beftettotal-T]])*100/O$439</f>
        <v>11.657939352209681</v>
      </c>
      <c r="Z30" s="7">
        <f>100-(P$436-Tabell2[[#This Row],[Befvekst10-T]])*100/P$439</f>
        <v>100</v>
      </c>
      <c r="AA30" s="7">
        <f>100-(Q$436-Tabell2[[#This Row],[Kvinneandel-T]])*100/Q$439</f>
        <v>63.447739119423915</v>
      </c>
      <c r="AB30" s="7">
        <f>(R$436-Tabell2[[#This Row],[Eldreandel-T]])*100/R$439</f>
        <v>64.787508826779529</v>
      </c>
      <c r="AC30" s="7">
        <f>100-(S$436-Tabell2[[#This Row],[Sysselsettingsvekst10-T]])*100/S$439</f>
        <v>64.796550955199962</v>
      </c>
      <c r="AD30" s="7">
        <f>100-(T$436-Tabell2[[#This Row],[Yrkesaktivandel-T]])*100/T$439</f>
        <v>35.929164495669198</v>
      </c>
      <c r="AE30" s="7">
        <f>100-(U$436-Tabell2[[#This Row],[Inntekt-T]])*100/U$439</f>
        <v>38.584809840875749</v>
      </c>
      <c r="AF30" s="7">
        <v>20</v>
      </c>
      <c r="AG30" s="7">
        <v>10</v>
      </c>
      <c r="AH30" s="7">
        <v>1.1657939352209681</v>
      </c>
      <c r="AI30" s="7">
        <v>20</v>
      </c>
      <c r="AJ30" s="7">
        <v>3.1723869559711959</v>
      </c>
      <c r="AK30" s="7">
        <v>3.2393754413389768</v>
      </c>
      <c r="AL30" s="7">
        <v>6.4796550955199965</v>
      </c>
      <c r="AM30" s="7">
        <v>3.5929164495669199</v>
      </c>
      <c r="AN30" s="7">
        <v>3.8584809840875751</v>
      </c>
      <c r="AO3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71.508608861705639</v>
      </c>
    </row>
    <row r="31" spans="1:41" x14ac:dyDescent="0.3">
      <c r="A31" s="2" t="s">
        <v>28</v>
      </c>
      <c r="B31">
        <f>'Rådata-K'!N30</f>
        <v>1</v>
      </c>
      <c r="C31" s="7">
        <f>'Rådata-K'!M30</f>
        <v>32.233333333300003</v>
      </c>
      <c r="D31" s="24">
        <f>'Rådata-K'!O30</f>
        <v>87.254264418988541</v>
      </c>
      <c r="E31" s="24">
        <f>'Rådata-K'!P30</f>
        <v>84.420675636434027</v>
      </c>
      <c r="F31" s="24">
        <f>'Rådata-K'!Q30</f>
        <v>0.30493005161966025</v>
      </c>
      <c r="G31" s="24">
        <f>'Rådata-K'!R30</f>
        <v>0.12526514934357622</v>
      </c>
      <c r="H31" s="24">
        <f>'Rådata-K'!S30</f>
        <v>0.11351258384452216</v>
      </c>
      <c r="I31" s="24">
        <f>'Rådata-K'!T30</f>
        <v>0.40254237288135597</v>
      </c>
      <c r="J31" s="24">
        <f>'Rådata-K'!U30</f>
        <v>0.86183191324554609</v>
      </c>
      <c r="K31" s="24">
        <f>'Rådata-K'!L30</f>
        <v>432900</v>
      </c>
      <c r="L31" s="24">
        <f>Tabell2[[#This Row],[NIBR11]]</f>
        <v>1</v>
      </c>
      <c r="M31" s="24">
        <f>IF(Tabell2[[#This Row],[ReisetidOslo]]&lt;=C$434,C$434,IF(Tabell2[[#This Row],[ReisetidOslo]]&gt;=C$435,C$435,Tabell2[[#This Row],[ReisetidOslo]]))</f>
        <v>52.54</v>
      </c>
      <c r="N31" s="24">
        <f>IF(Tabell2[[#This Row],[Beftettland]]&lt;=D$434,D$434,IF(Tabell2[[#This Row],[Beftettland]]&gt;=D$435,D$435,Tabell2[[#This Row],[Beftettland]]))</f>
        <v>87.254264418988541</v>
      </c>
      <c r="O31" s="24">
        <f>IF(Tabell2[[#This Row],[Beftettotal]]&lt;=E$434,E$434,IF(Tabell2[[#This Row],[Beftettotal]]&gt;=E$435,E$435,Tabell2[[#This Row],[Beftettotal]]))</f>
        <v>84.420675636434027</v>
      </c>
      <c r="P31" s="24">
        <f>IF(Tabell2[[#This Row],[Befvekst10]]&lt;=F$434,F$434,IF(Tabell2[[#This Row],[Befvekst10]]&gt;=F$435,F$435,Tabell2[[#This Row],[Befvekst10]]))</f>
        <v>0.17599648151968622</v>
      </c>
      <c r="Q31" s="24">
        <f>IF(Tabell2[[#This Row],[Kvinneandel]]&lt;=G$434,G$434,IF(Tabell2[[#This Row],[Kvinneandel]]&gt;=G$435,G$435,Tabell2[[#This Row],[Kvinneandel]]))</f>
        <v>0.12526514934357622</v>
      </c>
      <c r="R31" s="24">
        <f>IF(Tabell2[[#This Row],[Eldreandel]]&lt;=H$434,H$434,IF(Tabell2[[#This Row],[Eldreandel]]&gt;=H$435,H$435,Tabell2[[#This Row],[Eldreandel]]))</f>
        <v>0.12767243783057225</v>
      </c>
      <c r="S31" s="24">
        <f>IF(Tabell2[[#This Row],[Sysselsettingsvekst10]]&lt;=I$434,I$434,IF(Tabell2[[#This Row],[Sysselsettingsvekst10]]&gt;=I$435,I$435,Tabell2[[#This Row],[Sysselsettingsvekst10]]))</f>
        <v>0.21384805931725109</v>
      </c>
      <c r="T31" s="24">
        <f>IF(Tabell2[[#This Row],[Yrkesaktivandel]]&lt;=J$434,J$434,IF(Tabell2[[#This Row],[Yrkesaktivandel]]&gt;=J$435,J$435,Tabell2[[#This Row],[Yrkesaktivandel]]))</f>
        <v>0.86183191324554609</v>
      </c>
      <c r="U31" s="24">
        <f>IF(Tabell2[[#This Row],[Inntekt]]&lt;=K$434,K$434,IF(Tabell2[[#This Row],[Inntekt]]&gt;=K$435,K$435,Tabell2[[#This Row],[Inntekt]]))</f>
        <v>432900</v>
      </c>
      <c r="V31" s="7">
        <f>IF(Tabell2[[#This Row],[NIBR11-T]]&lt;=L$437,100,IF(Tabell2[[#This Row],[NIBR11-T]]&gt;=L$436,0,100*(L$436-Tabell2[[#This Row],[NIBR11-T]])/L$439))</f>
        <v>100</v>
      </c>
      <c r="W31" s="7">
        <f>(M$436-Tabell2[[#This Row],[ReisetidOslo-T]])*100/M$439</f>
        <v>100</v>
      </c>
      <c r="X31" s="7">
        <f>100-(N$436-Tabell2[[#This Row],[Beftettland-T]])*100/N$439</f>
        <v>63.504840217095534</v>
      </c>
      <c r="Y31" s="7">
        <f>100-(O$436-Tabell2[[#This Row],[Beftettotal-T]])*100/O$439</f>
        <v>63.609944390842649</v>
      </c>
      <c r="Z31" s="7">
        <f>100-(P$436-Tabell2[[#This Row],[Befvekst10-T]])*100/P$439</f>
        <v>100</v>
      </c>
      <c r="AA31" s="7">
        <f>100-(Q$436-Tabell2[[#This Row],[Kvinneandel-T]])*100/Q$439</f>
        <v>93.899632486956449</v>
      </c>
      <c r="AB31" s="7">
        <f>(R$436-Tabell2[[#This Row],[Eldreandel-T]])*100/R$439</f>
        <v>100</v>
      </c>
      <c r="AC31" s="7">
        <f>100-(S$436-Tabell2[[#This Row],[Sysselsettingsvekst10-T]])*100/S$439</f>
        <v>100</v>
      </c>
      <c r="AD31" s="7">
        <f>100-(T$436-Tabell2[[#This Row],[Yrkesaktivandel-T]])*100/T$439</f>
        <v>44.396586659493316</v>
      </c>
      <c r="AE31" s="7">
        <f>100-(U$436-Tabell2[[#This Row],[Inntekt-T]])*100/U$439</f>
        <v>99.864575104390028</v>
      </c>
      <c r="AF31" s="7">
        <v>20</v>
      </c>
      <c r="AG31" s="7">
        <v>10</v>
      </c>
      <c r="AH31" s="7">
        <v>6.3609944390842657</v>
      </c>
      <c r="AI31" s="7">
        <v>20</v>
      </c>
      <c r="AJ31" s="7">
        <v>4.6949816243478226</v>
      </c>
      <c r="AK31" s="7">
        <v>5</v>
      </c>
      <c r="AL31" s="7">
        <v>10</v>
      </c>
      <c r="AM31" s="7">
        <v>4.4396586659493318</v>
      </c>
      <c r="AN31" s="7">
        <v>9.9864575104390028</v>
      </c>
      <c r="AO3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90.482092239820446</v>
      </c>
    </row>
    <row r="32" spans="1:41" x14ac:dyDescent="0.3">
      <c r="A32" s="2" t="s">
        <v>29</v>
      </c>
      <c r="B32">
        <f>'Rådata-K'!N31</f>
        <v>1</v>
      </c>
      <c r="C32" s="7">
        <f>'Rådata-K'!M31</f>
        <v>23.316666666700002</v>
      </c>
      <c r="D32" s="24">
        <f>'Rådata-K'!O31</f>
        <v>82.689930934205734</v>
      </c>
      <c r="E32" s="24">
        <f>'Rådata-K'!P31</f>
        <v>64.493082331594465</v>
      </c>
      <c r="F32" s="24">
        <f>'Rådata-K'!Q31</f>
        <v>0.16848161084857205</v>
      </c>
      <c r="G32" s="24">
        <f>'Rådata-K'!R31</f>
        <v>0.11464744153332161</v>
      </c>
      <c r="H32" s="24">
        <f>'Rådata-K'!S31</f>
        <v>0.13240724459293124</v>
      </c>
      <c r="I32" s="24">
        <f>'Rådata-K'!T31</f>
        <v>0.23205417607223477</v>
      </c>
      <c r="J32" s="24">
        <f>'Rådata-K'!U31</f>
        <v>0.87271647111243134</v>
      </c>
      <c r="K32" s="24">
        <f>'Rådata-K'!L31</f>
        <v>435300</v>
      </c>
      <c r="L32" s="24">
        <f>Tabell2[[#This Row],[NIBR11]]</f>
        <v>1</v>
      </c>
      <c r="M32" s="24">
        <f>IF(Tabell2[[#This Row],[ReisetidOslo]]&lt;=C$434,C$434,IF(Tabell2[[#This Row],[ReisetidOslo]]&gt;=C$435,C$435,Tabell2[[#This Row],[ReisetidOslo]]))</f>
        <v>52.54</v>
      </c>
      <c r="N32" s="24">
        <f>IF(Tabell2[[#This Row],[Beftettland]]&lt;=D$434,D$434,IF(Tabell2[[#This Row],[Beftettland]]&gt;=D$435,D$435,Tabell2[[#This Row],[Beftettland]]))</f>
        <v>82.689930934205734</v>
      </c>
      <c r="O32" s="24">
        <f>IF(Tabell2[[#This Row],[Beftettotal]]&lt;=E$434,E$434,IF(Tabell2[[#This Row],[Beftettotal]]&gt;=E$435,E$435,Tabell2[[#This Row],[Beftettotal]]))</f>
        <v>64.493082331594465</v>
      </c>
      <c r="P32" s="24">
        <f>IF(Tabell2[[#This Row],[Befvekst10]]&lt;=F$434,F$434,IF(Tabell2[[#This Row],[Befvekst10]]&gt;=F$435,F$435,Tabell2[[#This Row],[Befvekst10]]))</f>
        <v>0.16848161084857205</v>
      </c>
      <c r="Q32" s="24">
        <f>IF(Tabell2[[#This Row],[Kvinneandel]]&lt;=G$434,G$434,IF(Tabell2[[#This Row],[Kvinneandel]]&gt;=G$435,G$435,Tabell2[[#This Row],[Kvinneandel]]))</f>
        <v>0.11464744153332161</v>
      </c>
      <c r="R32" s="24">
        <f>IF(Tabell2[[#This Row],[Eldreandel]]&lt;=H$434,H$434,IF(Tabell2[[#This Row],[Eldreandel]]&gt;=H$435,H$435,Tabell2[[#This Row],[Eldreandel]]))</f>
        <v>0.13240724459293124</v>
      </c>
      <c r="S32" s="24">
        <f>IF(Tabell2[[#This Row],[Sysselsettingsvekst10]]&lt;=I$434,I$434,IF(Tabell2[[#This Row],[Sysselsettingsvekst10]]&gt;=I$435,I$435,Tabell2[[#This Row],[Sysselsettingsvekst10]]))</f>
        <v>0.21384805931725109</v>
      </c>
      <c r="T32" s="24">
        <f>IF(Tabell2[[#This Row],[Yrkesaktivandel]]&lt;=J$434,J$434,IF(Tabell2[[#This Row],[Yrkesaktivandel]]&gt;=J$435,J$435,Tabell2[[#This Row],[Yrkesaktivandel]]))</f>
        <v>0.87271647111243134</v>
      </c>
      <c r="U32" s="24">
        <f>IF(Tabell2[[#This Row],[Inntekt]]&lt;=K$434,K$434,IF(Tabell2[[#This Row],[Inntekt]]&gt;=K$435,K$435,Tabell2[[#This Row],[Inntekt]]))</f>
        <v>433020</v>
      </c>
      <c r="V32" s="7">
        <f>IF(Tabell2[[#This Row],[NIBR11-T]]&lt;=L$437,100,IF(Tabell2[[#This Row],[NIBR11-T]]&gt;=L$436,0,100*(L$436-Tabell2[[#This Row],[NIBR11-T]])/L$439))</f>
        <v>100</v>
      </c>
      <c r="W32" s="7">
        <f>(M$436-Tabell2[[#This Row],[ReisetidOslo-T]])*100/M$439</f>
        <v>100</v>
      </c>
      <c r="X32" s="7">
        <f>100-(N$436-Tabell2[[#This Row],[Beftettland-T]])*100/N$439</f>
        <v>60.12858564992127</v>
      </c>
      <c r="Y32" s="7">
        <f>100-(O$436-Tabell2[[#This Row],[Beftettotal-T]])*100/O$439</f>
        <v>48.35659595844858</v>
      </c>
      <c r="Z32" s="7">
        <f>100-(P$436-Tabell2[[#This Row],[Befvekst10-T]])*100/P$439</f>
        <v>96.958273043547067</v>
      </c>
      <c r="AA32" s="7">
        <f>100-(Q$436-Tabell2[[#This Row],[Kvinneandel-T]])*100/Q$439</f>
        <v>66.006348451641927</v>
      </c>
      <c r="AB32" s="7">
        <f>(R$436-Tabell2[[#This Row],[Eldreandel-T]])*100/R$439</f>
        <v>94.889936914379234</v>
      </c>
      <c r="AC32" s="7">
        <f>100-(S$436-Tabell2[[#This Row],[Sysselsettingsvekst10-T]])*100/S$439</f>
        <v>100</v>
      </c>
      <c r="AD32" s="7">
        <f>100-(T$436-Tabell2[[#This Row],[Yrkesaktivandel-T]])*100/T$439</f>
        <v>52.073398082926381</v>
      </c>
      <c r="AE32" s="7">
        <f>100-(U$436-Tabell2[[#This Row],[Inntekt-T]])*100/U$439</f>
        <v>100</v>
      </c>
      <c r="AF32" s="7">
        <v>20</v>
      </c>
      <c r="AG32" s="7">
        <v>10</v>
      </c>
      <c r="AH32" s="7">
        <v>4.8356595958448585</v>
      </c>
      <c r="AI32" s="7">
        <v>19.391654608709416</v>
      </c>
      <c r="AJ32" s="7">
        <v>3.3003174225820966</v>
      </c>
      <c r="AK32" s="7">
        <v>4.7444968457189622</v>
      </c>
      <c r="AL32" s="7">
        <v>10</v>
      </c>
      <c r="AM32" s="7">
        <v>5.2073398082926383</v>
      </c>
      <c r="AN32" s="7">
        <v>10</v>
      </c>
      <c r="AO3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87.479468281147987</v>
      </c>
    </row>
    <row r="33" spans="1:41" x14ac:dyDescent="0.3">
      <c r="A33" s="2" t="s">
        <v>30</v>
      </c>
      <c r="B33">
        <f>'Rådata-K'!N32</f>
        <v>1</v>
      </c>
      <c r="C33" s="7">
        <f>'Rådata-K'!M32</f>
        <v>18.383333333300001</v>
      </c>
      <c r="D33" s="24">
        <f>'Rådata-K'!O32</f>
        <v>309.02642312466747</v>
      </c>
      <c r="E33" s="24">
        <f>'Rådata-K'!P32</f>
        <v>243.10825892857142</v>
      </c>
      <c r="F33" s="24">
        <f>'Rådata-K'!Q32</f>
        <v>0.17291512418388644</v>
      </c>
      <c r="G33" s="24">
        <f>'Rådata-K'!R32</f>
        <v>0.13187191552852059</v>
      </c>
      <c r="H33" s="24">
        <f>'Rådata-K'!S32</f>
        <v>0.11586135659359578</v>
      </c>
      <c r="I33" s="24">
        <f>'Rådata-K'!T32</f>
        <v>0.20864197530864192</v>
      </c>
      <c r="J33" s="24">
        <f>'Rådata-K'!U32</f>
        <v>0.86491859144263539</v>
      </c>
      <c r="K33" s="24">
        <f>'Rådata-K'!L32</f>
        <v>436200</v>
      </c>
      <c r="L33" s="24">
        <f>Tabell2[[#This Row],[NIBR11]]</f>
        <v>1</v>
      </c>
      <c r="M33" s="24">
        <f>IF(Tabell2[[#This Row],[ReisetidOslo]]&lt;=C$434,C$434,IF(Tabell2[[#This Row],[ReisetidOslo]]&gt;=C$435,C$435,Tabell2[[#This Row],[ReisetidOslo]]))</f>
        <v>52.54</v>
      </c>
      <c r="N33" s="24">
        <f>IF(Tabell2[[#This Row],[Beftettland]]&lt;=D$434,D$434,IF(Tabell2[[#This Row],[Beftettland]]&gt;=D$435,D$435,Tabell2[[#This Row],[Beftettland]]))</f>
        <v>136.59179999736304</v>
      </c>
      <c r="O33" s="24">
        <f>IF(Tabell2[[#This Row],[Beftettotal]]&lt;=E$434,E$434,IF(Tabell2[[#This Row],[Beftettotal]]&gt;=E$435,E$435,Tabell2[[#This Row],[Beftettotal]]))</f>
        <v>131.96212083018065</v>
      </c>
      <c r="P33" s="24">
        <f>IF(Tabell2[[#This Row],[Befvekst10]]&lt;=F$434,F$434,IF(Tabell2[[#This Row],[Befvekst10]]&gt;=F$435,F$435,Tabell2[[#This Row],[Befvekst10]]))</f>
        <v>0.17291512418388644</v>
      </c>
      <c r="Q33" s="24">
        <f>IF(Tabell2[[#This Row],[Kvinneandel]]&lt;=G$434,G$434,IF(Tabell2[[#This Row],[Kvinneandel]]&gt;=G$435,G$435,Tabell2[[#This Row],[Kvinneandel]]))</f>
        <v>0.12758728250318055</v>
      </c>
      <c r="R33" s="24">
        <f>IF(Tabell2[[#This Row],[Eldreandel]]&lt;=H$434,H$434,IF(Tabell2[[#This Row],[Eldreandel]]&gt;=H$435,H$435,Tabell2[[#This Row],[Eldreandel]]))</f>
        <v>0.12767243783057225</v>
      </c>
      <c r="S33" s="24">
        <f>IF(Tabell2[[#This Row],[Sysselsettingsvekst10]]&lt;=I$434,I$434,IF(Tabell2[[#This Row],[Sysselsettingsvekst10]]&gt;=I$435,I$435,Tabell2[[#This Row],[Sysselsettingsvekst10]]))</f>
        <v>0.20864197530864192</v>
      </c>
      <c r="T33" s="24">
        <f>IF(Tabell2[[#This Row],[Yrkesaktivandel]]&lt;=J$434,J$434,IF(Tabell2[[#This Row],[Yrkesaktivandel]]&gt;=J$435,J$435,Tabell2[[#This Row],[Yrkesaktivandel]]))</f>
        <v>0.86491859144263539</v>
      </c>
      <c r="U33" s="24">
        <f>IF(Tabell2[[#This Row],[Inntekt]]&lt;=K$434,K$434,IF(Tabell2[[#This Row],[Inntekt]]&gt;=K$435,K$435,Tabell2[[#This Row],[Inntekt]]))</f>
        <v>433020</v>
      </c>
      <c r="V33" s="7">
        <f>IF(Tabell2[[#This Row],[NIBR11-T]]&lt;=L$437,100,IF(Tabell2[[#This Row],[NIBR11-T]]&gt;=L$436,0,100*(L$436-Tabell2[[#This Row],[NIBR11-T]])/L$439))</f>
        <v>100</v>
      </c>
      <c r="W33" s="7">
        <f>(M$436-Tabell2[[#This Row],[ReisetidOslo-T]])*100/M$439</f>
        <v>100</v>
      </c>
      <c r="X33" s="7">
        <f>100-(N$436-Tabell2[[#This Row],[Beftettland-T]])*100/N$439</f>
        <v>100</v>
      </c>
      <c r="Y33" s="7">
        <f>100-(O$436-Tabell2[[#This Row],[Beftettotal-T]])*100/O$439</f>
        <v>100</v>
      </c>
      <c r="Z33" s="7">
        <f>100-(P$436-Tabell2[[#This Row],[Befvekst10-T]])*100/P$439</f>
        <v>98.752786564006612</v>
      </c>
      <c r="AA33" s="7">
        <f>100-(Q$436-Tabell2[[#This Row],[Kvinneandel-T]])*100/Q$439</f>
        <v>100</v>
      </c>
      <c r="AB33" s="7">
        <f>(R$436-Tabell2[[#This Row],[Eldreandel-T]])*100/R$439</f>
        <v>100</v>
      </c>
      <c r="AC33" s="7">
        <f>100-(S$436-Tabell2[[#This Row],[Sysselsettingsvekst10-T]])*100/S$439</f>
        <v>98.300987711505698</v>
      </c>
      <c r="AD33" s="7">
        <f>100-(T$436-Tabell2[[#This Row],[Yrkesaktivandel-T]])*100/T$439</f>
        <v>46.573601723740275</v>
      </c>
      <c r="AE33" s="7">
        <f>100-(U$436-Tabell2[[#This Row],[Inntekt-T]])*100/U$439</f>
        <v>100</v>
      </c>
      <c r="AF33" s="7">
        <v>20</v>
      </c>
      <c r="AG33" s="7">
        <v>10</v>
      </c>
      <c r="AH33" s="7">
        <v>10</v>
      </c>
      <c r="AI33" s="7">
        <v>19.750557312801323</v>
      </c>
      <c r="AJ33" s="7">
        <v>5</v>
      </c>
      <c r="AK33" s="7">
        <v>5</v>
      </c>
      <c r="AL33" s="7">
        <v>9.8300987711505705</v>
      </c>
      <c r="AM33" s="7">
        <v>4.6573601723740277</v>
      </c>
      <c r="AN33" s="7">
        <v>10</v>
      </c>
      <c r="AO3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94.23801625632592</v>
      </c>
    </row>
    <row r="34" spans="1:41" x14ac:dyDescent="0.3">
      <c r="A34" s="2" t="s">
        <v>31</v>
      </c>
      <c r="B34">
        <f>'Rådata-K'!N33</f>
        <v>1</v>
      </c>
      <c r="C34" s="7">
        <f>'Rådata-K'!M33</f>
        <v>34.9</v>
      </c>
      <c r="D34" s="24">
        <f>'Rådata-K'!O33</f>
        <v>55.615246866206192</v>
      </c>
      <c r="E34" s="24">
        <f>'Rådata-K'!P33</f>
        <v>46.736606758964662</v>
      </c>
      <c r="F34" s="24">
        <f>'Rådata-K'!Q33</f>
        <v>0.15123914424909968</v>
      </c>
      <c r="G34" s="24">
        <f>'Rådata-K'!R33</f>
        <v>0.12014719411223551</v>
      </c>
      <c r="H34" s="24">
        <f>'Rådata-K'!S33</f>
        <v>0.11701931922723091</v>
      </c>
      <c r="I34" s="24">
        <f>'Rådata-K'!T33</f>
        <v>0.27475468331846575</v>
      </c>
      <c r="J34" s="24">
        <f>'Rådata-K'!U33</f>
        <v>0.85672059738643436</v>
      </c>
      <c r="K34" s="24">
        <f>'Rådata-K'!L33</f>
        <v>419000</v>
      </c>
      <c r="L34" s="24">
        <f>Tabell2[[#This Row],[NIBR11]]</f>
        <v>1</v>
      </c>
      <c r="M34" s="24">
        <f>IF(Tabell2[[#This Row],[ReisetidOslo]]&lt;=C$434,C$434,IF(Tabell2[[#This Row],[ReisetidOslo]]&gt;=C$435,C$435,Tabell2[[#This Row],[ReisetidOslo]]))</f>
        <v>52.54</v>
      </c>
      <c r="N34" s="24">
        <f>IF(Tabell2[[#This Row],[Beftettland]]&lt;=D$434,D$434,IF(Tabell2[[#This Row],[Beftettland]]&gt;=D$435,D$435,Tabell2[[#This Row],[Beftettland]]))</f>
        <v>55.615246866206192</v>
      </c>
      <c r="O34" s="24">
        <f>IF(Tabell2[[#This Row],[Beftettotal]]&lt;=E$434,E$434,IF(Tabell2[[#This Row],[Beftettotal]]&gt;=E$435,E$435,Tabell2[[#This Row],[Beftettotal]]))</f>
        <v>46.736606758964662</v>
      </c>
      <c r="P34" s="24">
        <f>IF(Tabell2[[#This Row],[Befvekst10]]&lt;=F$434,F$434,IF(Tabell2[[#This Row],[Befvekst10]]&gt;=F$435,F$435,Tabell2[[#This Row],[Befvekst10]]))</f>
        <v>0.15123914424909968</v>
      </c>
      <c r="Q34" s="24">
        <f>IF(Tabell2[[#This Row],[Kvinneandel]]&lt;=G$434,G$434,IF(Tabell2[[#This Row],[Kvinneandel]]&gt;=G$435,G$435,Tabell2[[#This Row],[Kvinneandel]]))</f>
        <v>0.12014719411223551</v>
      </c>
      <c r="R34" s="24">
        <f>IF(Tabell2[[#This Row],[Eldreandel]]&lt;=H$434,H$434,IF(Tabell2[[#This Row],[Eldreandel]]&gt;=H$435,H$435,Tabell2[[#This Row],[Eldreandel]]))</f>
        <v>0.12767243783057225</v>
      </c>
      <c r="S34" s="24">
        <f>IF(Tabell2[[#This Row],[Sysselsettingsvekst10]]&lt;=I$434,I$434,IF(Tabell2[[#This Row],[Sysselsettingsvekst10]]&gt;=I$435,I$435,Tabell2[[#This Row],[Sysselsettingsvekst10]]))</f>
        <v>0.21384805931725109</v>
      </c>
      <c r="T34" s="24">
        <f>IF(Tabell2[[#This Row],[Yrkesaktivandel]]&lt;=J$434,J$434,IF(Tabell2[[#This Row],[Yrkesaktivandel]]&gt;=J$435,J$435,Tabell2[[#This Row],[Yrkesaktivandel]]))</f>
        <v>0.85672059738643436</v>
      </c>
      <c r="U34" s="24">
        <f>IF(Tabell2[[#This Row],[Inntekt]]&lt;=K$434,K$434,IF(Tabell2[[#This Row],[Inntekt]]&gt;=K$435,K$435,Tabell2[[#This Row],[Inntekt]]))</f>
        <v>419000</v>
      </c>
      <c r="V34" s="7">
        <f>IF(Tabell2[[#This Row],[NIBR11-T]]&lt;=L$437,100,IF(Tabell2[[#This Row],[NIBR11-T]]&gt;=L$436,0,100*(L$436-Tabell2[[#This Row],[NIBR11-T]])/L$439))</f>
        <v>100</v>
      </c>
      <c r="W34" s="7">
        <f>(M$436-Tabell2[[#This Row],[ReisetidOslo-T]])*100/M$439</f>
        <v>100</v>
      </c>
      <c r="X34" s="7">
        <f>100-(N$436-Tabell2[[#This Row],[Beftettland-T]])*100/N$439</f>
        <v>40.101340479483525</v>
      </c>
      <c r="Y34" s="7">
        <f>100-(O$436-Tabell2[[#This Row],[Beftettotal-T]])*100/O$439</f>
        <v>34.765104768449248</v>
      </c>
      <c r="Z34" s="7">
        <f>100-(P$436-Tabell2[[#This Row],[Befvekst10-T]])*100/P$439</f>
        <v>89.979194128330192</v>
      </c>
      <c r="AA34" s="7">
        <f>100-(Q$436-Tabell2[[#This Row],[Kvinneandel-T]])*100/Q$439</f>
        <v>80.454491454733329</v>
      </c>
      <c r="AB34" s="7">
        <f>(R$436-Tabell2[[#This Row],[Eldreandel-T]])*100/R$439</f>
        <v>100</v>
      </c>
      <c r="AC34" s="7">
        <f>100-(S$436-Tabell2[[#This Row],[Sysselsettingsvekst10-T]])*100/S$439</f>
        <v>100</v>
      </c>
      <c r="AD34" s="7">
        <f>100-(T$436-Tabell2[[#This Row],[Yrkesaktivandel-T]])*100/T$439</f>
        <v>40.791607159555923</v>
      </c>
      <c r="AE34" s="7">
        <f>100-(U$436-Tabell2[[#This Row],[Inntekt-T]])*100/U$439</f>
        <v>84.177858029567773</v>
      </c>
      <c r="AF34" s="7">
        <v>20</v>
      </c>
      <c r="AG34" s="7">
        <v>10</v>
      </c>
      <c r="AH34" s="7">
        <v>3.4765104768449251</v>
      </c>
      <c r="AI34" s="7">
        <v>17.995838825666038</v>
      </c>
      <c r="AJ34" s="7">
        <v>4.0227245727366663</v>
      </c>
      <c r="AK34" s="7">
        <v>5</v>
      </c>
      <c r="AL34" s="7">
        <v>10</v>
      </c>
      <c r="AM34" s="7">
        <v>4.0791607159555925</v>
      </c>
      <c r="AN34" s="7">
        <v>8.4177858029567769</v>
      </c>
      <c r="AO3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82.992020394159994</v>
      </c>
    </row>
    <row r="35" spans="1:41" x14ac:dyDescent="0.3">
      <c r="A35" s="2" t="s">
        <v>32</v>
      </c>
      <c r="B35">
        <f>'Rådata-K'!N34</f>
        <v>1</v>
      </c>
      <c r="C35" s="7">
        <f>'Rådata-K'!M34</f>
        <v>11.7</v>
      </c>
      <c r="D35" s="24">
        <f>'Rådata-K'!O34</f>
        <v>540.62732272929986</v>
      </c>
      <c r="E35" s="24">
        <f>'Rådata-K'!P34</f>
        <v>515.49255846917083</v>
      </c>
      <c r="F35" s="24">
        <f>'Rådata-K'!Q34</f>
        <v>0.17585437615183164</v>
      </c>
      <c r="G35" s="24">
        <f>'Rådata-K'!R34</f>
        <v>0.1217003959524857</v>
      </c>
      <c r="H35" s="24">
        <f>'Rådata-K'!S34</f>
        <v>0.13143422789265288</v>
      </c>
      <c r="I35" s="24">
        <f>'Rådata-K'!T34</f>
        <v>0.2950286309213952</v>
      </c>
      <c r="J35" s="24">
        <f>'Rådata-K'!U34</f>
        <v>0.84687182330653354</v>
      </c>
      <c r="K35" s="24">
        <f>'Rådata-K'!L34</f>
        <v>450100</v>
      </c>
      <c r="L35" s="24">
        <f>Tabell2[[#This Row],[NIBR11]]</f>
        <v>1</v>
      </c>
      <c r="M35" s="24">
        <f>IF(Tabell2[[#This Row],[ReisetidOslo]]&lt;=C$434,C$434,IF(Tabell2[[#This Row],[ReisetidOslo]]&gt;=C$435,C$435,Tabell2[[#This Row],[ReisetidOslo]]))</f>
        <v>52.54</v>
      </c>
      <c r="N35" s="24">
        <f>IF(Tabell2[[#This Row],[Beftettland]]&lt;=D$434,D$434,IF(Tabell2[[#This Row],[Beftettland]]&gt;=D$435,D$435,Tabell2[[#This Row],[Beftettland]]))</f>
        <v>136.59179999736304</v>
      </c>
      <c r="O35" s="24">
        <f>IF(Tabell2[[#This Row],[Beftettotal]]&lt;=E$434,E$434,IF(Tabell2[[#This Row],[Beftettotal]]&gt;=E$435,E$435,Tabell2[[#This Row],[Beftettotal]]))</f>
        <v>131.96212083018065</v>
      </c>
      <c r="P35" s="24">
        <f>IF(Tabell2[[#This Row],[Befvekst10]]&lt;=F$434,F$434,IF(Tabell2[[#This Row],[Befvekst10]]&gt;=F$435,F$435,Tabell2[[#This Row],[Befvekst10]]))</f>
        <v>0.17585437615183164</v>
      </c>
      <c r="Q35" s="24">
        <f>IF(Tabell2[[#This Row],[Kvinneandel]]&lt;=G$434,G$434,IF(Tabell2[[#This Row],[Kvinneandel]]&gt;=G$435,G$435,Tabell2[[#This Row],[Kvinneandel]]))</f>
        <v>0.1217003959524857</v>
      </c>
      <c r="R35" s="24">
        <f>IF(Tabell2[[#This Row],[Eldreandel]]&lt;=H$434,H$434,IF(Tabell2[[#This Row],[Eldreandel]]&gt;=H$435,H$435,Tabell2[[#This Row],[Eldreandel]]))</f>
        <v>0.13143422789265288</v>
      </c>
      <c r="S35" s="24">
        <f>IF(Tabell2[[#This Row],[Sysselsettingsvekst10]]&lt;=I$434,I$434,IF(Tabell2[[#This Row],[Sysselsettingsvekst10]]&gt;=I$435,I$435,Tabell2[[#This Row],[Sysselsettingsvekst10]]))</f>
        <v>0.21384805931725109</v>
      </c>
      <c r="T35" s="24">
        <f>IF(Tabell2[[#This Row],[Yrkesaktivandel]]&lt;=J$434,J$434,IF(Tabell2[[#This Row],[Yrkesaktivandel]]&gt;=J$435,J$435,Tabell2[[#This Row],[Yrkesaktivandel]]))</f>
        <v>0.84687182330653354</v>
      </c>
      <c r="U35" s="24">
        <f>IF(Tabell2[[#This Row],[Inntekt]]&lt;=K$434,K$434,IF(Tabell2[[#This Row],[Inntekt]]&gt;=K$435,K$435,Tabell2[[#This Row],[Inntekt]]))</f>
        <v>433020</v>
      </c>
      <c r="V35" s="7">
        <f>IF(Tabell2[[#This Row],[NIBR11-T]]&lt;=L$437,100,IF(Tabell2[[#This Row],[NIBR11-T]]&gt;=L$436,0,100*(L$436-Tabell2[[#This Row],[NIBR11-T]])/L$439))</f>
        <v>100</v>
      </c>
      <c r="W35" s="7">
        <f>(M$436-Tabell2[[#This Row],[ReisetidOslo-T]])*100/M$439</f>
        <v>100</v>
      </c>
      <c r="X35" s="7">
        <f>100-(N$436-Tabell2[[#This Row],[Beftettland-T]])*100/N$439</f>
        <v>100</v>
      </c>
      <c r="Y35" s="7">
        <f>100-(O$436-Tabell2[[#This Row],[Beftettotal-T]])*100/O$439</f>
        <v>100</v>
      </c>
      <c r="Z35" s="7">
        <f>100-(P$436-Tabell2[[#This Row],[Befvekst10-T]])*100/P$439</f>
        <v>99.942481281850746</v>
      </c>
      <c r="AA35" s="7">
        <f>100-(Q$436-Tabell2[[#This Row],[Kvinneandel-T]])*100/Q$439</f>
        <v>84.534835429958321</v>
      </c>
      <c r="AB35" s="7">
        <f>(R$436-Tabell2[[#This Row],[Eldreandel-T]])*100/R$439</f>
        <v>95.940069891571255</v>
      </c>
      <c r="AC35" s="7">
        <f>100-(S$436-Tabell2[[#This Row],[Sysselsettingsvekst10-T]])*100/S$439</f>
        <v>100</v>
      </c>
      <c r="AD35" s="7">
        <f>100-(T$436-Tabell2[[#This Row],[Yrkesaktivandel-T]])*100/T$439</f>
        <v>33.845327642459651</v>
      </c>
      <c r="AE35" s="7">
        <f>100-(U$436-Tabell2[[#This Row],[Inntekt-T]])*100/U$439</f>
        <v>100</v>
      </c>
      <c r="AF35" s="7">
        <v>20</v>
      </c>
      <c r="AG35" s="7">
        <v>10</v>
      </c>
      <c r="AH35" s="7">
        <v>10</v>
      </c>
      <c r="AI35" s="7">
        <v>19.988496256370151</v>
      </c>
      <c r="AJ35" s="7">
        <v>4.2267417714979159</v>
      </c>
      <c r="AK35" s="7">
        <v>4.7970034945785631</v>
      </c>
      <c r="AL35" s="7">
        <v>10</v>
      </c>
      <c r="AM35" s="7">
        <v>3.3845327642459653</v>
      </c>
      <c r="AN35" s="7">
        <v>10</v>
      </c>
      <c r="AO3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92.39677428669259</v>
      </c>
    </row>
    <row r="36" spans="1:41" x14ac:dyDescent="0.3">
      <c r="A36" s="2" t="s">
        <v>33</v>
      </c>
      <c r="B36">
        <f>'Rådata-K'!N35</f>
        <v>1</v>
      </c>
      <c r="C36" s="7">
        <f>'Rådata-K'!M35</f>
        <v>16.133333333300001</v>
      </c>
      <c r="D36" s="24">
        <f>'Rådata-K'!O35</f>
        <v>700.01332800213243</v>
      </c>
      <c r="E36" s="24">
        <f>'Rådata-K'!P35</f>
        <v>681.74974039460017</v>
      </c>
      <c r="F36" s="24">
        <f>'Rådata-K'!Q35</f>
        <v>0.21575889447003549</v>
      </c>
      <c r="G36" s="24">
        <f>'Rådata-K'!R35</f>
        <v>0.12640417348920452</v>
      </c>
      <c r="H36" s="24">
        <f>'Rådata-K'!S35</f>
        <v>0.13407714862343398</v>
      </c>
      <c r="I36" s="24">
        <f>'Rådata-K'!T35</f>
        <v>0.20736555764804354</v>
      </c>
      <c r="J36" s="24">
        <f>'Rådata-K'!U35</f>
        <v>0.8404517388105065</v>
      </c>
      <c r="K36" s="24">
        <f>'Rådata-K'!L35</f>
        <v>436900</v>
      </c>
      <c r="L36" s="24">
        <f>Tabell2[[#This Row],[NIBR11]]</f>
        <v>1</v>
      </c>
      <c r="M36" s="24">
        <f>IF(Tabell2[[#This Row],[ReisetidOslo]]&lt;=C$434,C$434,IF(Tabell2[[#This Row],[ReisetidOslo]]&gt;=C$435,C$435,Tabell2[[#This Row],[ReisetidOslo]]))</f>
        <v>52.54</v>
      </c>
      <c r="N36" s="24">
        <f>IF(Tabell2[[#This Row],[Beftettland]]&lt;=D$434,D$434,IF(Tabell2[[#This Row],[Beftettland]]&gt;=D$435,D$435,Tabell2[[#This Row],[Beftettland]]))</f>
        <v>136.59179999736304</v>
      </c>
      <c r="O36" s="24">
        <f>IF(Tabell2[[#This Row],[Beftettotal]]&lt;=E$434,E$434,IF(Tabell2[[#This Row],[Beftettotal]]&gt;=E$435,E$435,Tabell2[[#This Row],[Beftettotal]]))</f>
        <v>131.96212083018065</v>
      </c>
      <c r="P36" s="24">
        <f>IF(Tabell2[[#This Row],[Befvekst10]]&lt;=F$434,F$434,IF(Tabell2[[#This Row],[Befvekst10]]&gt;=F$435,F$435,Tabell2[[#This Row],[Befvekst10]]))</f>
        <v>0.17599648151968622</v>
      </c>
      <c r="Q36" s="24">
        <f>IF(Tabell2[[#This Row],[Kvinneandel]]&lt;=G$434,G$434,IF(Tabell2[[#This Row],[Kvinneandel]]&gt;=G$435,G$435,Tabell2[[#This Row],[Kvinneandel]]))</f>
        <v>0.12640417348920452</v>
      </c>
      <c r="R36" s="24">
        <f>IF(Tabell2[[#This Row],[Eldreandel]]&lt;=H$434,H$434,IF(Tabell2[[#This Row],[Eldreandel]]&gt;=H$435,H$435,Tabell2[[#This Row],[Eldreandel]]))</f>
        <v>0.13407714862343398</v>
      </c>
      <c r="S36" s="24">
        <f>IF(Tabell2[[#This Row],[Sysselsettingsvekst10]]&lt;=I$434,I$434,IF(Tabell2[[#This Row],[Sysselsettingsvekst10]]&gt;=I$435,I$435,Tabell2[[#This Row],[Sysselsettingsvekst10]]))</f>
        <v>0.20736555764804354</v>
      </c>
      <c r="T36" s="24">
        <f>IF(Tabell2[[#This Row],[Yrkesaktivandel]]&lt;=J$434,J$434,IF(Tabell2[[#This Row],[Yrkesaktivandel]]&gt;=J$435,J$435,Tabell2[[#This Row],[Yrkesaktivandel]]))</f>
        <v>0.8404517388105065</v>
      </c>
      <c r="U36" s="24">
        <f>IF(Tabell2[[#This Row],[Inntekt]]&lt;=K$434,K$434,IF(Tabell2[[#This Row],[Inntekt]]&gt;=K$435,K$435,Tabell2[[#This Row],[Inntekt]]))</f>
        <v>433020</v>
      </c>
      <c r="V36" s="7">
        <f>IF(Tabell2[[#This Row],[NIBR11-T]]&lt;=L$437,100,IF(Tabell2[[#This Row],[NIBR11-T]]&gt;=L$436,0,100*(L$436-Tabell2[[#This Row],[NIBR11-T]])/L$439))</f>
        <v>100</v>
      </c>
      <c r="W36" s="7">
        <f>(M$436-Tabell2[[#This Row],[ReisetidOslo-T]])*100/M$439</f>
        <v>100</v>
      </c>
      <c r="X36" s="7">
        <f>100-(N$436-Tabell2[[#This Row],[Beftettland-T]])*100/N$439</f>
        <v>100</v>
      </c>
      <c r="Y36" s="7">
        <f>100-(O$436-Tabell2[[#This Row],[Beftettotal-T]])*100/O$439</f>
        <v>100</v>
      </c>
      <c r="Z36" s="7">
        <f>100-(P$436-Tabell2[[#This Row],[Befvekst10-T]])*100/P$439</f>
        <v>100</v>
      </c>
      <c r="AA36" s="7">
        <f>100-(Q$436-Tabell2[[#This Row],[Kvinneandel-T]])*100/Q$439</f>
        <v>96.891909594677102</v>
      </c>
      <c r="AB36" s="7">
        <f>(R$436-Tabell2[[#This Row],[Eldreandel-T]])*100/R$439</f>
        <v>93.087684917393858</v>
      </c>
      <c r="AC36" s="7">
        <f>100-(S$436-Tabell2[[#This Row],[Sysselsettingsvekst10-T]])*100/S$439</f>
        <v>97.884427147553694</v>
      </c>
      <c r="AD36" s="7">
        <f>100-(T$436-Tabell2[[#This Row],[Yrkesaktivandel-T]])*100/T$439</f>
        <v>29.317281707911306</v>
      </c>
      <c r="AE36" s="7">
        <f>100-(U$436-Tabell2[[#This Row],[Inntekt-T]])*100/U$439</f>
        <v>100</v>
      </c>
      <c r="AF36" s="7">
        <v>20</v>
      </c>
      <c r="AG36" s="7">
        <v>10</v>
      </c>
      <c r="AH36" s="7">
        <v>10</v>
      </c>
      <c r="AI36" s="7">
        <v>20</v>
      </c>
      <c r="AJ36" s="7">
        <v>4.8445954797338553</v>
      </c>
      <c r="AK36" s="7">
        <v>4.6543842458696929</v>
      </c>
      <c r="AL36" s="7">
        <v>9.7884427147553694</v>
      </c>
      <c r="AM36" s="7">
        <v>2.9317281707911307</v>
      </c>
      <c r="AN36" s="7">
        <v>10</v>
      </c>
      <c r="AO3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92.219150611150042</v>
      </c>
    </row>
    <row r="37" spans="1:41" x14ac:dyDescent="0.3">
      <c r="A37" s="2" t="s">
        <v>34</v>
      </c>
      <c r="B37">
        <f>'Rådata-K'!N36</f>
        <v>1</v>
      </c>
      <c r="C37" s="7">
        <f>'Rådata-K'!M36</f>
        <v>24.833333333300001</v>
      </c>
      <c r="D37" s="24">
        <f>'Rådata-K'!O36</f>
        <v>127.39382454575856</v>
      </c>
      <c r="E37" s="24">
        <f>'Rådata-K'!P36</f>
        <v>122.74191816131457</v>
      </c>
      <c r="F37" s="24">
        <f>'Rådata-K'!Q36</f>
        <v>0.15895953757225434</v>
      </c>
      <c r="G37" s="24">
        <f>'Rådata-K'!R36</f>
        <v>0.11243820273876712</v>
      </c>
      <c r="H37" s="24">
        <f>'Rådata-K'!S36</f>
        <v>0.12175701098131864</v>
      </c>
      <c r="I37" s="24">
        <f>'Rådata-K'!T36</f>
        <v>0.15427350427350417</v>
      </c>
      <c r="J37" s="24">
        <f>'Rådata-K'!U36</f>
        <v>0.88259564891222808</v>
      </c>
      <c r="K37" s="24">
        <f>'Rådata-K'!L36</f>
        <v>462400</v>
      </c>
      <c r="L37" s="24">
        <f>Tabell2[[#This Row],[NIBR11]]</f>
        <v>1</v>
      </c>
      <c r="M37" s="24">
        <f>IF(Tabell2[[#This Row],[ReisetidOslo]]&lt;=C$434,C$434,IF(Tabell2[[#This Row],[ReisetidOslo]]&gt;=C$435,C$435,Tabell2[[#This Row],[ReisetidOslo]]))</f>
        <v>52.54</v>
      </c>
      <c r="N37" s="24">
        <f>IF(Tabell2[[#This Row],[Beftettland]]&lt;=D$434,D$434,IF(Tabell2[[#This Row],[Beftettland]]&gt;=D$435,D$435,Tabell2[[#This Row],[Beftettland]]))</f>
        <v>127.39382454575856</v>
      </c>
      <c r="O37" s="24">
        <f>IF(Tabell2[[#This Row],[Beftettotal]]&lt;=E$434,E$434,IF(Tabell2[[#This Row],[Beftettotal]]&gt;=E$435,E$435,Tabell2[[#This Row],[Beftettotal]]))</f>
        <v>122.74191816131457</v>
      </c>
      <c r="P37" s="24">
        <f>IF(Tabell2[[#This Row],[Befvekst10]]&lt;=F$434,F$434,IF(Tabell2[[#This Row],[Befvekst10]]&gt;=F$435,F$435,Tabell2[[#This Row],[Befvekst10]]))</f>
        <v>0.15895953757225434</v>
      </c>
      <c r="Q37" s="24">
        <f>IF(Tabell2[[#This Row],[Kvinneandel]]&lt;=G$434,G$434,IF(Tabell2[[#This Row],[Kvinneandel]]&gt;=G$435,G$435,Tabell2[[#This Row],[Kvinneandel]]))</f>
        <v>0.11243820273876712</v>
      </c>
      <c r="R37" s="24">
        <f>IF(Tabell2[[#This Row],[Eldreandel]]&lt;=H$434,H$434,IF(Tabell2[[#This Row],[Eldreandel]]&gt;=H$435,H$435,Tabell2[[#This Row],[Eldreandel]]))</f>
        <v>0.12767243783057225</v>
      </c>
      <c r="S37" s="24">
        <f>IF(Tabell2[[#This Row],[Sysselsettingsvekst10]]&lt;=I$434,I$434,IF(Tabell2[[#This Row],[Sysselsettingsvekst10]]&gt;=I$435,I$435,Tabell2[[#This Row],[Sysselsettingsvekst10]]))</f>
        <v>0.15427350427350417</v>
      </c>
      <c r="T37" s="24">
        <f>IF(Tabell2[[#This Row],[Yrkesaktivandel]]&lt;=J$434,J$434,IF(Tabell2[[#This Row],[Yrkesaktivandel]]&gt;=J$435,J$435,Tabell2[[#This Row],[Yrkesaktivandel]]))</f>
        <v>0.88259564891222808</v>
      </c>
      <c r="U37" s="24">
        <f>IF(Tabell2[[#This Row],[Inntekt]]&lt;=K$434,K$434,IF(Tabell2[[#This Row],[Inntekt]]&gt;=K$435,K$435,Tabell2[[#This Row],[Inntekt]]))</f>
        <v>433020</v>
      </c>
      <c r="V37" s="7">
        <f>IF(Tabell2[[#This Row],[NIBR11-T]]&lt;=L$437,100,IF(Tabell2[[#This Row],[NIBR11-T]]&gt;=L$436,0,100*(L$436-Tabell2[[#This Row],[NIBR11-T]])/L$439))</f>
        <v>100</v>
      </c>
      <c r="W37" s="7">
        <f>(M$436-Tabell2[[#This Row],[ReisetidOslo-T]])*100/M$439</f>
        <v>100</v>
      </c>
      <c r="X37" s="7">
        <f>100-(N$436-Tabell2[[#This Row],[Beftettland-T]])*100/N$439</f>
        <v>93.196223122002195</v>
      </c>
      <c r="Y37" s="7">
        <f>100-(O$436-Tabell2[[#This Row],[Beftettotal-T]])*100/O$439</f>
        <v>92.942501295861518</v>
      </c>
      <c r="Z37" s="7">
        <f>100-(P$436-Tabell2[[#This Row],[Befvekst10-T]])*100/P$439</f>
        <v>93.104108649577327</v>
      </c>
      <c r="AA37" s="7">
        <f>100-(Q$436-Tabell2[[#This Row],[Kvinneandel-T]])*100/Q$439</f>
        <v>60.202560449599829</v>
      </c>
      <c r="AB37" s="7">
        <f>(R$436-Tabell2[[#This Row],[Eldreandel-T]])*100/R$439</f>
        <v>100</v>
      </c>
      <c r="AC37" s="7">
        <f>100-(S$436-Tabell2[[#This Row],[Sysselsettingsvekst10-T]])*100/S$439</f>
        <v>80.557766464481873</v>
      </c>
      <c r="AD37" s="7">
        <f>100-(T$436-Tabell2[[#This Row],[Yrkesaktivandel-T]])*100/T$439</f>
        <v>59.041121155844252</v>
      </c>
      <c r="AE37" s="7">
        <f>100-(U$436-Tabell2[[#This Row],[Inntekt-T]])*100/U$439</f>
        <v>100</v>
      </c>
      <c r="AF37" s="7">
        <v>20</v>
      </c>
      <c r="AG37" s="7">
        <v>10</v>
      </c>
      <c r="AH37" s="7">
        <v>9.2942501295861515</v>
      </c>
      <c r="AI37" s="7">
        <v>18.620821729915466</v>
      </c>
      <c r="AJ37" s="7">
        <v>3.0101280224799916</v>
      </c>
      <c r="AK37" s="7">
        <v>5</v>
      </c>
      <c r="AL37" s="7">
        <v>8.0557766464481873</v>
      </c>
      <c r="AM37" s="7">
        <v>5.9041121155844252</v>
      </c>
      <c r="AN37" s="7">
        <v>10</v>
      </c>
      <c r="AO3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89.885088644014232</v>
      </c>
    </row>
    <row r="38" spans="1:41" x14ac:dyDescent="0.3">
      <c r="A38" s="2" t="s">
        <v>35</v>
      </c>
      <c r="B38">
        <f>'Rådata-K'!N37</f>
        <v>1</v>
      </c>
      <c r="C38" s="7">
        <f>'Rådata-K'!M37</f>
        <v>23.8</v>
      </c>
      <c r="D38" s="24">
        <f>'Rådata-K'!O37</f>
        <v>76.950225142996231</v>
      </c>
      <c r="E38" s="24">
        <f>'Rådata-K'!P37</f>
        <v>76.0067315783147</v>
      </c>
      <c r="F38" s="24">
        <f>'Rådata-K'!Q37</f>
        <v>0.21269658611430753</v>
      </c>
      <c r="G38" s="24">
        <f>'Rådata-K'!R37</f>
        <v>0.10279930412778744</v>
      </c>
      <c r="H38" s="24">
        <f>'Rådata-K'!S37</f>
        <v>0.12494069270915704</v>
      </c>
      <c r="I38" s="24">
        <f>'Rådata-K'!T37</f>
        <v>0.21400472069236831</v>
      </c>
      <c r="J38" s="24">
        <f>'Rådata-K'!U37</f>
        <v>0.91468039003250268</v>
      </c>
      <c r="K38" s="24">
        <f>'Rådata-K'!L37</f>
        <v>467100</v>
      </c>
      <c r="L38" s="24">
        <f>Tabell2[[#This Row],[NIBR11]]</f>
        <v>1</v>
      </c>
      <c r="M38" s="24">
        <f>IF(Tabell2[[#This Row],[ReisetidOslo]]&lt;=C$434,C$434,IF(Tabell2[[#This Row],[ReisetidOslo]]&gt;=C$435,C$435,Tabell2[[#This Row],[ReisetidOslo]]))</f>
        <v>52.54</v>
      </c>
      <c r="N38" s="24">
        <f>IF(Tabell2[[#This Row],[Beftettland]]&lt;=D$434,D$434,IF(Tabell2[[#This Row],[Beftettland]]&gt;=D$435,D$435,Tabell2[[#This Row],[Beftettland]]))</f>
        <v>76.950225142996231</v>
      </c>
      <c r="O38" s="24">
        <f>IF(Tabell2[[#This Row],[Beftettotal]]&lt;=E$434,E$434,IF(Tabell2[[#This Row],[Beftettotal]]&gt;=E$435,E$435,Tabell2[[#This Row],[Beftettotal]]))</f>
        <v>76.0067315783147</v>
      </c>
      <c r="P38" s="24">
        <f>IF(Tabell2[[#This Row],[Befvekst10]]&lt;=F$434,F$434,IF(Tabell2[[#This Row],[Befvekst10]]&gt;=F$435,F$435,Tabell2[[#This Row],[Befvekst10]]))</f>
        <v>0.17599648151968622</v>
      </c>
      <c r="Q38" s="24">
        <f>IF(Tabell2[[#This Row],[Kvinneandel]]&lt;=G$434,G$434,IF(Tabell2[[#This Row],[Kvinneandel]]&gt;=G$435,G$435,Tabell2[[#This Row],[Kvinneandel]]))</f>
        <v>0.10279930412778744</v>
      </c>
      <c r="R38" s="24">
        <f>IF(Tabell2[[#This Row],[Eldreandel]]&lt;=H$434,H$434,IF(Tabell2[[#This Row],[Eldreandel]]&gt;=H$435,H$435,Tabell2[[#This Row],[Eldreandel]]))</f>
        <v>0.12767243783057225</v>
      </c>
      <c r="S38" s="24">
        <f>IF(Tabell2[[#This Row],[Sysselsettingsvekst10]]&lt;=I$434,I$434,IF(Tabell2[[#This Row],[Sysselsettingsvekst10]]&gt;=I$435,I$435,Tabell2[[#This Row],[Sysselsettingsvekst10]]))</f>
        <v>0.21384805931725109</v>
      </c>
      <c r="T38" s="24">
        <f>IF(Tabell2[[#This Row],[Yrkesaktivandel]]&lt;=J$434,J$434,IF(Tabell2[[#This Row],[Yrkesaktivandel]]&gt;=J$435,J$435,Tabell2[[#This Row],[Yrkesaktivandel]]))</f>
        <v>0.91468039003250268</v>
      </c>
      <c r="U38" s="24">
        <f>IF(Tabell2[[#This Row],[Inntekt]]&lt;=K$434,K$434,IF(Tabell2[[#This Row],[Inntekt]]&gt;=K$435,K$435,Tabell2[[#This Row],[Inntekt]]))</f>
        <v>433020</v>
      </c>
      <c r="V38" s="7">
        <f>IF(Tabell2[[#This Row],[NIBR11-T]]&lt;=L$437,100,IF(Tabell2[[#This Row],[NIBR11-T]]&gt;=L$436,0,100*(L$436-Tabell2[[#This Row],[NIBR11-T]])/L$439))</f>
        <v>100</v>
      </c>
      <c r="W38" s="7">
        <f>(M$436-Tabell2[[#This Row],[ReisetidOslo-T]])*100/M$439</f>
        <v>100</v>
      </c>
      <c r="X38" s="7">
        <f>100-(N$436-Tabell2[[#This Row],[Beftettland-T]])*100/N$439</f>
        <v>55.882903787188191</v>
      </c>
      <c r="Y38" s="7">
        <f>100-(O$436-Tabell2[[#This Row],[Beftettotal-T]])*100/O$439</f>
        <v>57.169587121106652</v>
      </c>
      <c r="Z38" s="7">
        <f>100-(P$436-Tabell2[[#This Row],[Befvekst10-T]])*100/P$439</f>
        <v>100</v>
      </c>
      <c r="AA38" s="7">
        <f>100-(Q$436-Tabell2[[#This Row],[Kvinneandel-T]])*100/Q$439</f>
        <v>34.880660323097132</v>
      </c>
      <c r="AB38" s="7">
        <f>(R$436-Tabell2[[#This Row],[Eldreandel-T]])*100/R$439</f>
        <v>100</v>
      </c>
      <c r="AC38" s="7">
        <f>100-(S$436-Tabell2[[#This Row],[Sysselsettingsvekst10-T]])*100/S$439</f>
        <v>100</v>
      </c>
      <c r="AD38" s="7">
        <f>100-(T$436-Tabell2[[#This Row],[Yrkesaktivandel-T]])*100/T$439</f>
        <v>81.670290862348921</v>
      </c>
      <c r="AE38" s="7">
        <f>100-(U$436-Tabell2[[#This Row],[Inntekt-T]])*100/U$439</f>
        <v>100</v>
      </c>
      <c r="AF38" s="7">
        <v>20</v>
      </c>
      <c r="AG38" s="7">
        <v>10</v>
      </c>
      <c r="AH38" s="7">
        <v>5.7169587121106655</v>
      </c>
      <c r="AI38" s="7">
        <v>20</v>
      </c>
      <c r="AJ38" s="7">
        <v>1.7440330161548567</v>
      </c>
      <c r="AK38" s="7">
        <v>5</v>
      </c>
      <c r="AL38" s="7">
        <v>10</v>
      </c>
      <c r="AM38" s="7">
        <v>8.1670290862348924</v>
      </c>
      <c r="AN38" s="7">
        <v>10</v>
      </c>
      <c r="AO3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90.628020814500417</v>
      </c>
    </row>
    <row r="39" spans="1:41" x14ac:dyDescent="0.3">
      <c r="A39" s="2" t="s">
        <v>36</v>
      </c>
      <c r="B39">
        <f>'Rådata-K'!N38</f>
        <v>1</v>
      </c>
      <c r="C39" s="7">
        <f>'Rådata-K'!M38</f>
        <v>27.9666666667</v>
      </c>
      <c r="D39" s="24">
        <f>'Rådata-K'!O38</f>
        <v>136.56480926702616</v>
      </c>
      <c r="E39" s="24">
        <f>'Rådata-K'!P38</f>
        <v>135.41806947360084</v>
      </c>
      <c r="F39" s="24">
        <f>'Rådata-K'!Q38</f>
        <v>0.35300170168981748</v>
      </c>
      <c r="G39" s="24">
        <f>'Rådata-K'!R38</f>
        <v>0.13182602591476791</v>
      </c>
      <c r="H39" s="24">
        <f>'Rådata-K'!S38</f>
        <v>0.11489075433619</v>
      </c>
      <c r="I39" s="24">
        <f>'Rådata-K'!T38</f>
        <v>0.22414143466775038</v>
      </c>
      <c r="J39" s="24">
        <f>'Rådata-K'!U38</f>
        <v>0.84896139525769154</v>
      </c>
      <c r="K39" s="24">
        <f>'Rådata-K'!L38</f>
        <v>424400</v>
      </c>
      <c r="L39" s="24">
        <f>Tabell2[[#This Row],[NIBR11]]</f>
        <v>1</v>
      </c>
      <c r="M39" s="24">
        <f>IF(Tabell2[[#This Row],[ReisetidOslo]]&lt;=C$434,C$434,IF(Tabell2[[#This Row],[ReisetidOslo]]&gt;=C$435,C$435,Tabell2[[#This Row],[ReisetidOslo]]))</f>
        <v>52.54</v>
      </c>
      <c r="N39" s="24">
        <f>IF(Tabell2[[#This Row],[Beftettland]]&lt;=D$434,D$434,IF(Tabell2[[#This Row],[Beftettland]]&gt;=D$435,D$435,Tabell2[[#This Row],[Beftettland]]))</f>
        <v>136.56480926702616</v>
      </c>
      <c r="O39" s="24">
        <f>IF(Tabell2[[#This Row],[Beftettotal]]&lt;=E$434,E$434,IF(Tabell2[[#This Row],[Beftettotal]]&gt;=E$435,E$435,Tabell2[[#This Row],[Beftettotal]]))</f>
        <v>131.96212083018065</v>
      </c>
      <c r="P39" s="24">
        <f>IF(Tabell2[[#This Row],[Befvekst10]]&lt;=F$434,F$434,IF(Tabell2[[#This Row],[Befvekst10]]&gt;=F$435,F$435,Tabell2[[#This Row],[Befvekst10]]))</f>
        <v>0.17599648151968622</v>
      </c>
      <c r="Q39" s="24">
        <f>IF(Tabell2[[#This Row],[Kvinneandel]]&lt;=G$434,G$434,IF(Tabell2[[#This Row],[Kvinneandel]]&gt;=G$435,G$435,Tabell2[[#This Row],[Kvinneandel]]))</f>
        <v>0.12758728250318055</v>
      </c>
      <c r="R39" s="24">
        <f>IF(Tabell2[[#This Row],[Eldreandel]]&lt;=H$434,H$434,IF(Tabell2[[#This Row],[Eldreandel]]&gt;=H$435,H$435,Tabell2[[#This Row],[Eldreandel]]))</f>
        <v>0.12767243783057225</v>
      </c>
      <c r="S39" s="24">
        <f>IF(Tabell2[[#This Row],[Sysselsettingsvekst10]]&lt;=I$434,I$434,IF(Tabell2[[#This Row],[Sysselsettingsvekst10]]&gt;=I$435,I$435,Tabell2[[#This Row],[Sysselsettingsvekst10]]))</f>
        <v>0.21384805931725109</v>
      </c>
      <c r="T39" s="24">
        <f>IF(Tabell2[[#This Row],[Yrkesaktivandel]]&lt;=J$434,J$434,IF(Tabell2[[#This Row],[Yrkesaktivandel]]&gt;=J$435,J$435,Tabell2[[#This Row],[Yrkesaktivandel]]))</f>
        <v>0.84896139525769154</v>
      </c>
      <c r="U39" s="24">
        <f>IF(Tabell2[[#This Row],[Inntekt]]&lt;=K$434,K$434,IF(Tabell2[[#This Row],[Inntekt]]&gt;=K$435,K$435,Tabell2[[#This Row],[Inntekt]]))</f>
        <v>424400</v>
      </c>
      <c r="V39" s="7">
        <f>IF(Tabell2[[#This Row],[NIBR11-T]]&lt;=L$437,100,IF(Tabell2[[#This Row],[NIBR11-T]]&gt;=L$436,0,100*(L$436-Tabell2[[#This Row],[NIBR11-T]])/L$439))</f>
        <v>100</v>
      </c>
      <c r="W39" s="7">
        <f>(M$436-Tabell2[[#This Row],[ReisetidOslo-T]])*100/M$439</f>
        <v>100</v>
      </c>
      <c r="X39" s="7">
        <f>100-(N$436-Tabell2[[#This Row],[Beftettland-T]])*100/N$439</f>
        <v>99.980034855718785</v>
      </c>
      <c r="Y39" s="7">
        <f>100-(O$436-Tabell2[[#This Row],[Beftettotal-T]])*100/O$439</f>
        <v>100</v>
      </c>
      <c r="Z39" s="7">
        <f>100-(P$436-Tabell2[[#This Row],[Befvekst10-T]])*100/P$439</f>
        <v>100</v>
      </c>
      <c r="AA39" s="7">
        <f>100-(Q$436-Tabell2[[#This Row],[Kvinneandel-T]])*100/Q$439</f>
        <v>100</v>
      </c>
      <c r="AB39" s="7">
        <f>(R$436-Tabell2[[#This Row],[Eldreandel-T]])*100/R$439</f>
        <v>100</v>
      </c>
      <c r="AC39" s="7">
        <f>100-(S$436-Tabell2[[#This Row],[Sysselsettingsvekst10-T]])*100/S$439</f>
        <v>100</v>
      </c>
      <c r="AD39" s="7">
        <f>100-(T$436-Tabell2[[#This Row],[Yrkesaktivandel-T]])*100/T$439</f>
        <v>35.319089831141511</v>
      </c>
      <c r="AE39" s="7">
        <f>100-(U$436-Tabell2[[#This Row],[Inntekt-T]])*100/U$439</f>
        <v>90.271978332016701</v>
      </c>
      <c r="AF39" s="7">
        <v>20</v>
      </c>
      <c r="AG39" s="7">
        <v>10</v>
      </c>
      <c r="AH39" s="7">
        <v>10</v>
      </c>
      <c r="AI39" s="7">
        <v>20</v>
      </c>
      <c r="AJ39" s="7">
        <v>5</v>
      </c>
      <c r="AK39" s="7">
        <v>5</v>
      </c>
      <c r="AL39" s="7">
        <v>10</v>
      </c>
      <c r="AM39" s="7">
        <v>3.5319089831141515</v>
      </c>
      <c r="AN39" s="7">
        <v>9.0271978332016705</v>
      </c>
      <c r="AO3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92.559106816315818</v>
      </c>
    </row>
    <row r="40" spans="1:41" x14ac:dyDescent="0.3">
      <c r="A40" s="2" t="s">
        <v>37</v>
      </c>
      <c r="B40">
        <f>'Rådata-K'!N39</f>
        <v>1</v>
      </c>
      <c r="C40" s="7">
        <f>'Rådata-K'!M39</f>
        <v>38.733333333300003</v>
      </c>
      <c r="D40" s="24">
        <f>'Rådata-K'!O39</f>
        <v>34.129799323414453</v>
      </c>
      <c r="E40" s="24">
        <f>'Rådata-K'!P39</f>
        <v>32.608456891817681</v>
      </c>
      <c r="F40" s="24">
        <f>'Rådata-K'!Q39</f>
        <v>0.1532016424370215</v>
      </c>
      <c r="G40" s="24">
        <f>'Rådata-K'!R39</f>
        <v>0.1177885772025213</v>
      </c>
      <c r="H40" s="24">
        <f>'Rådata-K'!S39</f>
        <v>0.13612086801712939</v>
      </c>
      <c r="I40" s="24">
        <f>'Rådata-K'!T39</f>
        <v>0.13503723083115315</v>
      </c>
      <c r="J40" s="24">
        <f>'Rådata-K'!U39</f>
        <v>0.84727360463245938</v>
      </c>
      <c r="K40" s="24">
        <f>'Rådata-K'!L39</f>
        <v>392700</v>
      </c>
      <c r="L40" s="24">
        <f>Tabell2[[#This Row],[NIBR11]]</f>
        <v>1</v>
      </c>
      <c r="M40" s="24">
        <f>IF(Tabell2[[#This Row],[ReisetidOslo]]&lt;=C$434,C$434,IF(Tabell2[[#This Row],[ReisetidOslo]]&gt;=C$435,C$435,Tabell2[[#This Row],[ReisetidOslo]]))</f>
        <v>52.54</v>
      </c>
      <c r="N40" s="24">
        <f>IF(Tabell2[[#This Row],[Beftettland]]&lt;=D$434,D$434,IF(Tabell2[[#This Row],[Beftettland]]&gt;=D$435,D$435,Tabell2[[#This Row],[Beftettland]]))</f>
        <v>34.129799323414453</v>
      </c>
      <c r="O40" s="24">
        <f>IF(Tabell2[[#This Row],[Beftettotal]]&lt;=E$434,E$434,IF(Tabell2[[#This Row],[Beftettotal]]&gt;=E$435,E$435,Tabell2[[#This Row],[Beftettotal]]))</f>
        <v>32.608456891817681</v>
      </c>
      <c r="P40" s="24">
        <f>IF(Tabell2[[#This Row],[Befvekst10]]&lt;=F$434,F$434,IF(Tabell2[[#This Row],[Befvekst10]]&gt;=F$435,F$435,Tabell2[[#This Row],[Befvekst10]]))</f>
        <v>0.1532016424370215</v>
      </c>
      <c r="Q40" s="24">
        <f>IF(Tabell2[[#This Row],[Kvinneandel]]&lt;=G$434,G$434,IF(Tabell2[[#This Row],[Kvinneandel]]&gt;=G$435,G$435,Tabell2[[#This Row],[Kvinneandel]]))</f>
        <v>0.1177885772025213</v>
      </c>
      <c r="R40" s="24">
        <f>IF(Tabell2[[#This Row],[Eldreandel]]&lt;=H$434,H$434,IF(Tabell2[[#This Row],[Eldreandel]]&gt;=H$435,H$435,Tabell2[[#This Row],[Eldreandel]]))</f>
        <v>0.13612086801712939</v>
      </c>
      <c r="S40" s="24">
        <f>IF(Tabell2[[#This Row],[Sysselsettingsvekst10]]&lt;=I$434,I$434,IF(Tabell2[[#This Row],[Sysselsettingsvekst10]]&gt;=I$435,I$435,Tabell2[[#This Row],[Sysselsettingsvekst10]]))</f>
        <v>0.13503723083115315</v>
      </c>
      <c r="T40" s="24">
        <f>IF(Tabell2[[#This Row],[Yrkesaktivandel]]&lt;=J$434,J$434,IF(Tabell2[[#This Row],[Yrkesaktivandel]]&gt;=J$435,J$435,Tabell2[[#This Row],[Yrkesaktivandel]]))</f>
        <v>0.84727360463245938</v>
      </c>
      <c r="U40" s="24">
        <f>IF(Tabell2[[#This Row],[Inntekt]]&lt;=K$434,K$434,IF(Tabell2[[#This Row],[Inntekt]]&gt;=K$435,K$435,Tabell2[[#This Row],[Inntekt]]))</f>
        <v>392700</v>
      </c>
      <c r="V40" s="7">
        <f>IF(Tabell2[[#This Row],[NIBR11-T]]&lt;=L$437,100,IF(Tabell2[[#This Row],[NIBR11-T]]&gt;=L$436,0,100*(L$436-Tabell2[[#This Row],[NIBR11-T]])/L$439))</f>
        <v>100</v>
      </c>
      <c r="W40" s="7">
        <f>(M$436-Tabell2[[#This Row],[ReisetidOslo-T]])*100/M$439</f>
        <v>100</v>
      </c>
      <c r="X40" s="7">
        <f>100-(N$436-Tabell2[[#This Row],[Beftettland-T]])*100/N$439</f>
        <v>24.208474492373142</v>
      </c>
      <c r="Y40" s="7">
        <f>100-(O$436-Tabell2[[#This Row],[Beftettotal-T]])*100/O$439</f>
        <v>23.950874001488629</v>
      </c>
      <c r="Z40" s="7">
        <f>100-(P$436-Tabell2[[#This Row],[Befvekst10-T]])*100/P$439</f>
        <v>90.773536958891086</v>
      </c>
      <c r="AA40" s="7">
        <f>100-(Q$436-Tabell2[[#This Row],[Kvinneandel-T]])*100/Q$439</f>
        <v>74.258279186618864</v>
      </c>
      <c r="AB40" s="7">
        <f>(R$436-Tabell2[[#This Row],[Eldreandel-T]])*100/R$439</f>
        <v>90.881990882715471</v>
      </c>
      <c r="AC40" s="7">
        <f>100-(S$436-Tabell2[[#This Row],[Sysselsettingsvekst10-T]])*100/S$439</f>
        <v>74.279983603247913</v>
      </c>
      <c r="AD40" s="7">
        <f>100-(T$436-Tabell2[[#This Row],[Yrkesaktivandel-T]])*100/T$439</f>
        <v>34.128701529604243</v>
      </c>
      <c r="AE40" s="7">
        <f>100-(U$436-Tabell2[[#This Row],[Inntekt-T]])*100/U$439</f>
        <v>54.497235075047961</v>
      </c>
      <c r="AF40" s="7">
        <v>20</v>
      </c>
      <c r="AG40" s="7">
        <v>10</v>
      </c>
      <c r="AH40" s="7">
        <v>2.3950874001488631</v>
      </c>
      <c r="AI40" s="7">
        <v>18.154707391778217</v>
      </c>
      <c r="AJ40" s="7">
        <v>3.7129139593309435</v>
      </c>
      <c r="AK40" s="7">
        <v>4.5440995441357739</v>
      </c>
      <c r="AL40" s="7">
        <v>7.4279983603247919</v>
      </c>
      <c r="AM40" s="7">
        <v>3.4128701529604246</v>
      </c>
      <c r="AN40" s="7">
        <v>5.4497235075047961</v>
      </c>
      <c r="AO4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75.097400316183808</v>
      </c>
    </row>
    <row r="41" spans="1:41" x14ac:dyDescent="0.3">
      <c r="A41" s="2" t="s">
        <v>38</v>
      </c>
      <c r="B41">
        <f>'Rådata-K'!N40</f>
        <v>1</v>
      </c>
      <c r="C41" s="7">
        <f>'Rådata-K'!M40</f>
        <v>47.133333333300001</v>
      </c>
      <c r="D41" s="24">
        <f>'Rådata-K'!O40</f>
        <v>61.764934761744186</v>
      </c>
      <c r="E41" s="24">
        <f>'Rådata-K'!P40</f>
        <v>52.161055006681416</v>
      </c>
      <c r="F41" s="24">
        <f>'Rådata-K'!Q40</f>
        <v>0.25830999313005343</v>
      </c>
      <c r="G41" s="24">
        <f>'Rådata-K'!R40</f>
        <v>0.12716811557683425</v>
      </c>
      <c r="H41" s="24">
        <f>'Rådata-K'!S40</f>
        <v>0.13153584477762378</v>
      </c>
      <c r="I41" s="24">
        <f>'Rådata-K'!T40</f>
        <v>8.3866732315772241E-2</v>
      </c>
      <c r="J41" s="24">
        <f>'Rådata-K'!U40</f>
        <v>0.82502298606690716</v>
      </c>
      <c r="K41" s="24">
        <f>'Rådata-K'!L40</f>
        <v>393500</v>
      </c>
      <c r="L41" s="24">
        <f>Tabell2[[#This Row],[NIBR11]]</f>
        <v>1</v>
      </c>
      <c r="M41" s="24">
        <f>IF(Tabell2[[#This Row],[ReisetidOslo]]&lt;=C$434,C$434,IF(Tabell2[[#This Row],[ReisetidOslo]]&gt;=C$435,C$435,Tabell2[[#This Row],[ReisetidOslo]]))</f>
        <v>52.54</v>
      </c>
      <c r="N41" s="24">
        <f>IF(Tabell2[[#This Row],[Beftettland]]&lt;=D$434,D$434,IF(Tabell2[[#This Row],[Beftettland]]&gt;=D$435,D$435,Tabell2[[#This Row],[Beftettland]]))</f>
        <v>61.764934761744186</v>
      </c>
      <c r="O41" s="24">
        <f>IF(Tabell2[[#This Row],[Beftettotal]]&lt;=E$434,E$434,IF(Tabell2[[#This Row],[Beftettotal]]&gt;=E$435,E$435,Tabell2[[#This Row],[Beftettotal]]))</f>
        <v>52.161055006681416</v>
      </c>
      <c r="P41" s="24">
        <f>IF(Tabell2[[#This Row],[Befvekst10]]&lt;=F$434,F$434,IF(Tabell2[[#This Row],[Befvekst10]]&gt;=F$435,F$435,Tabell2[[#This Row],[Befvekst10]]))</f>
        <v>0.17599648151968622</v>
      </c>
      <c r="Q41" s="24">
        <f>IF(Tabell2[[#This Row],[Kvinneandel]]&lt;=G$434,G$434,IF(Tabell2[[#This Row],[Kvinneandel]]&gt;=G$435,G$435,Tabell2[[#This Row],[Kvinneandel]]))</f>
        <v>0.12716811557683425</v>
      </c>
      <c r="R41" s="24">
        <f>IF(Tabell2[[#This Row],[Eldreandel]]&lt;=H$434,H$434,IF(Tabell2[[#This Row],[Eldreandel]]&gt;=H$435,H$435,Tabell2[[#This Row],[Eldreandel]]))</f>
        <v>0.13153584477762378</v>
      </c>
      <c r="S41" s="24">
        <f>IF(Tabell2[[#This Row],[Sysselsettingsvekst10]]&lt;=I$434,I$434,IF(Tabell2[[#This Row],[Sysselsettingsvekst10]]&gt;=I$435,I$435,Tabell2[[#This Row],[Sysselsettingsvekst10]]))</f>
        <v>8.3866732315772241E-2</v>
      </c>
      <c r="T41" s="24">
        <f>IF(Tabell2[[#This Row],[Yrkesaktivandel]]&lt;=J$434,J$434,IF(Tabell2[[#This Row],[Yrkesaktivandel]]&gt;=J$435,J$435,Tabell2[[#This Row],[Yrkesaktivandel]]))</f>
        <v>0.82502298606690716</v>
      </c>
      <c r="U41" s="24">
        <f>IF(Tabell2[[#This Row],[Inntekt]]&lt;=K$434,K$434,IF(Tabell2[[#This Row],[Inntekt]]&gt;=K$435,K$435,Tabell2[[#This Row],[Inntekt]]))</f>
        <v>393500</v>
      </c>
      <c r="V41" s="7">
        <f>IF(Tabell2[[#This Row],[NIBR11-T]]&lt;=L$437,100,IF(Tabell2[[#This Row],[NIBR11-T]]&gt;=L$436,0,100*(L$436-Tabell2[[#This Row],[NIBR11-T]])/L$439))</f>
        <v>100</v>
      </c>
      <c r="W41" s="7">
        <f>(M$436-Tabell2[[#This Row],[ReisetidOslo-T]])*100/M$439</f>
        <v>100</v>
      </c>
      <c r="X41" s="7">
        <f>100-(N$436-Tabell2[[#This Row],[Beftettland-T]])*100/N$439</f>
        <v>44.650287639726891</v>
      </c>
      <c r="Y41" s="7">
        <f>100-(O$436-Tabell2[[#This Row],[Beftettotal-T]])*100/O$439</f>
        <v>38.917186653611914</v>
      </c>
      <c r="Z41" s="7">
        <f>100-(P$436-Tabell2[[#This Row],[Befvekst10-T]])*100/P$439</f>
        <v>100</v>
      </c>
      <c r="AA41" s="7">
        <f>100-(Q$436-Tabell2[[#This Row],[Kvinneandel-T]])*100/Q$439</f>
        <v>98.898826154973378</v>
      </c>
      <c r="AB41" s="7">
        <f>(R$436-Tabell2[[#This Row],[Eldreandel-T]])*100/R$439</f>
        <v>95.83039937726565</v>
      </c>
      <c r="AC41" s="7">
        <f>100-(S$436-Tabell2[[#This Row],[Sysselsettingsvekst10-T]])*100/S$439</f>
        <v>57.580424848098758</v>
      </c>
      <c r="AD41" s="7">
        <f>100-(T$436-Tabell2[[#This Row],[Yrkesaktivandel-T]])*100/T$439</f>
        <v>18.435477709998267</v>
      </c>
      <c r="AE41" s="7">
        <f>100-(U$436-Tabell2[[#This Row],[Inntekt-T]])*100/U$439</f>
        <v>55.400067712447807</v>
      </c>
      <c r="AF41" s="7">
        <v>20</v>
      </c>
      <c r="AG41" s="7">
        <v>10</v>
      </c>
      <c r="AH41" s="7">
        <v>3.8917186653611915</v>
      </c>
      <c r="AI41" s="7">
        <v>20</v>
      </c>
      <c r="AJ41" s="7">
        <v>4.9449413077486692</v>
      </c>
      <c r="AK41" s="7">
        <v>4.791519968863283</v>
      </c>
      <c r="AL41" s="7">
        <v>5.7580424848098763</v>
      </c>
      <c r="AM41" s="7">
        <v>1.8435477709998267</v>
      </c>
      <c r="AN41" s="7">
        <v>5.5400067712447809</v>
      </c>
      <c r="AO4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76.769776969027617</v>
      </c>
    </row>
    <row r="42" spans="1:41" x14ac:dyDescent="0.3">
      <c r="A42" s="2" t="s">
        <v>39</v>
      </c>
      <c r="B42">
        <f>'Rådata-K'!N41</f>
        <v>1</v>
      </c>
      <c r="C42" s="7">
        <f>'Rådata-K'!M41</f>
        <v>40.200000000000003</v>
      </c>
      <c r="D42" s="24">
        <f>'Rådata-K'!O41</f>
        <v>37.826086956521735</v>
      </c>
      <c r="E42" s="24">
        <f>'Rådata-K'!P41</f>
        <v>35.975717050853419</v>
      </c>
      <c r="F42" s="24">
        <f>'Rådata-K'!Q41</f>
        <v>0.18854762135451986</v>
      </c>
      <c r="G42" s="24">
        <f>'Rådata-K'!R41</f>
        <v>0.12276840303252629</v>
      </c>
      <c r="H42" s="24">
        <f>'Rådata-K'!S41</f>
        <v>0.11738811445341159</v>
      </c>
      <c r="I42" s="24">
        <f>'Rådata-K'!T41</f>
        <v>0.22675438596491237</v>
      </c>
      <c r="J42" s="24">
        <f>'Rådata-K'!U41</f>
        <v>0.85077047850770482</v>
      </c>
      <c r="K42" s="24">
        <f>'Rådata-K'!L41</f>
        <v>404500</v>
      </c>
      <c r="L42" s="24">
        <f>Tabell2[[#This Row],[NIBR11]]</f>
        <v>1</v>
      </c>
      <c r="M42" s="24">
        <f>IF(Tabell2[[#This Row],[ReisetidOslo]]&lt;=C$434,C$434,IF(Tabell2[[#This Row],[ReisetidOslo]]&gt;=C$435,C$435,Tabell2[[#This Row],[ReisetidOslo]]))</f>
        <v>52.54</v>
      </c>
      <c r="N42" s="24">
        <f>IF(Tabell2[[#This Row],[Beftettland]]&lt;=D$434,D$434,IF(Tabell2[[#This Row],[Beftettland]]&gt;=D$435,D$435,Tabell2[[#This Row],[Beftettland]]))</f>
        <v>37.826086956521735</v>
      </c>
      <c r="O42" s="24">
        <f>IF(Tabell2[[#This Row],[Beftettotal]]&lt;=E$434,E$434,IF(Tabell2[[#This Row],[Beftettotal]]&gt;=E$435,E$435,Tabell2[[#This Row],[Beftettotal]]))</f>
        <v>35.975717050853419</v>
      </c>
      <c r="P42" s="24">
        <f>IF(Tabell2[[#This Row],[Befvekst10]]&lt;=F$434,F$434,IF(Tabell2[[#This Row],[Befvekst10]]&gt;=F$435,F$435,Tabell2[[#This Row],[Befvekst10]]))</f>
        <v>0.17599648151968622</v>
      </c>
      <c r="Q42" s="24">
        <f>IF(Tabell2[[#This Row],[Kvinneandel]]&lt;=G$434,G$434,IF(Tabell2[[#This Row],[Kvinneandel]]&gt;=G$435,G$435,Tabell2[[#This Row],[Kvinneandel]]))</f>
        <v>0.12276840303252629</v>
      </c>
      <c r="R42" s="24">
        <f>IF(Tabell2[[#This Row],[Eldreandel]]&lt;=H$434,H$434,IF(Tabell2[[#This Row],[Eldreandel]]&gt;=H$435,H$435,Tabell2[[#This Row],[Eldreandel]]))</f>
        <v>0.12767243783057225</v>
      </c>
      <c r="S42" s="24">
        <f>IF(Tabell2[[#This Row],[Sysselsettingsvekst10]]&lt;=I$434,I$434,IF(Tabell2[[#This Row],[Sysselsettingsvekst10]]&gt;=I$435,I$435,Tabell2[[#This Row],[Sysselsettingsvekst10]]))</f>
        <v>0.21384805931725109</v>
      </c>
      <c r="T42" s="24">
        <f>IF(Tabell2[[#This Row],[Yrkesaktivandel]]&lt;=J$434,J$434,IF(Tabell2[[#This Row],[Yrkesaktivandel]]&gt;=J$435,J$435,Tabell2[[#This Row],[Yrkesaktivandel]]))</f>
        <v>0.85077047850770482</v>
      </c>
      <c r="U42" s="24">
        <f>IF(Tabell2[[#This Row],[Inntekt]]&lt;=K$434,K$434,IF(Tabell2[[#This Row],[Inntekt]]&gt;=K$435,K$435,Tabell2[[#This Row],[Inntekt]]))</f>
        <v>404500</v>
      </c>
      <c r="V42" s="7">
        <f>IF(Tabell2[[#This Row],[NIBR11-T]]&lt;=L$437,100,IF(Tabell2[[#This Row],[NIBR11-T]]&gt;=L$436,0,100*(L$436-Tabell2[[#This Row],[NIBR11-T]])/L$439))</f>
        <v>100</v>
      </c>
      <c r="W42" s="7">
        <f>(M$436-Tabell2[[#This Row],[ReisetidOslo-T]])*100/M$439</f>
        <v>100</v>
      </c>
      <c r="X42" s="7">
        <f>100-(N$436-Tabell2[[#This Row],[Beftettland-T]])*100/N$439</f>
        <v>26.942632293172409</v>
      </c>
      <c r="Y42" s="7">
        <f>100-(O$436-Tabell2[[#This Row],[Beftettotal-T]])*100/O$439</f>
        <v>26.528304787162938</v>
      </c>
      <c r="Z42" s="7">
        <f>100-(P$436-Tabell2[[#This Row],[Befvekst10-T]])*100/P$439</f>
        <v>100</v>
      </c>
      <c r="AA42" s="7">
        <f>100-(Q$436-Tabell2[[#This Row],[Kvinneandel-T]])*100/Q$439</f>
        <v>87.340546923217474</v>
      </c>
      <c r="AB42" s="7">
        <f>(R$436-Tabell2[[#This Row],[Eldreandel-T]])*100/R$439</f>
        <v>100</v>
      </c>
      <c r="AC42" s="7">
        <f>100-(S$436-Tabell2[[#This Row],[Sysselsettingsvekst10-T]])*100/S$439</f>
        <v>100</v>
      </c>
      <c r="AD42" s="7">
        <f>100-(T$436-Tabell2[[#This Row],[Yrkesaktivandel-T]])*100/T$439</f>
        <v>36.595025071643619</v>
      </c>
      <c r="AE42" s="7">
        <f>100-(U$436-Tabell2[[#This Row],[Inntekt-T]])*100/U$439</f>
        <v>67.814016476695627</v>
      </c>
      <c r="AF42" s="7">
        <v>20</v>
      </c>
      <c r="AG42" s="7">
        <v>10</v>
      </c>
      <c r="AH42" s="7">
        <v>2.652830478716294</v>
      </c>
      <c r="AI42" s="7">
        <v>20</v>
      </c>
      <c r="AJ42" s="7">
        <v>4.3670273461608735</v>
      </c>
      <c r="AK42" s="7">
        <v>5</v>
      </c>
      <c r="AL42" s="7">
        <v>10</v>
      </c>
      <c r="AM42" s="7">
        <v>3.6595025071643619</v>
      </c>
      <c r="AN42" s="7">
        <v>6.7814016476695631</v>
      </c>
      <c r="AO4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82.460761979711094</v>
      </c>
    </row>
    <row r="43" spans="1:41" x14ac:dyDescent="0.3">
      <c r="A43" s="2" t="s">
        <v>40</v>
      </c>
      <c r="B43">
        <f>'Rådata-K'!N42</f>
        <v>1</v>
      </c>
      <c r="C43" s="7">
        <f>'Rådata-K'!M42</f>
        <v>53.133333333300001</v>
      </c>
      <c r="D43" s="24">
        <f>'Rådata-K'!O42</f>
        <v>10.870981338851207</v>
      </c>
      <c r="E43" s="24">
        <f>'Rådata-K'!P42</f>
        <v>9.9557832678270621</v>
      </c>
      <c r="F43" s="24">
        <f>'Rådata-K'!Q42</f>
        <v>8.6556874760628011E-2</v>
      </c>
      <c r="G43" s="24">
        <f>'Rådata-K'!R42</f>
        <v>0.10539302079661614</v>
      </c>
      <c r="H43" s="24">
        <f>'Rådata-K'!S42</f>
        <v>0.1706027493831512</v>
      </c>
      <c r="I43" s="24">
        <f>'Rådata-K'!T42</f>
        <v>-5.3348467650397247E-2</v>
      </c>
      <c r="J43" s="24">
        <f>'Rådata-K'!U42</f>
        <v>0.83947532792004997</v>
      </c>
      <c r="K43" s="24">
        <f>'Rådata-K'!L42</f>
        <v>357100</v>
      </c>
      <c r="L43" s="24">
        <f>Tabell2[[#This Row],[NIBR11]]</f>
        <v>1</v>
      </c>
      <c r="M43" s="24">
        <f>IF(Tabell2[[#This Row],[ReisetidOslo]]&lt;=C$434,C$434,IF(Tabell2[[#This Row],[ReisetidOslo]]&gt;=C$435,C$435,Tabell2[[#This Row],[ReisetidOslo]]))</f>
        <v>53.133333333300001</v>
      </c>
      <c r="N43" s="24">
        <f>IF(Tabell2[[#This Row],[Beftettland]]&lt;=D$434,D$434,IF(Tabell2[[#This Row],[Beftettland]]&gt;=D$435,D$435,Tabell2[[#This Row],[Beftettland]]))</f>
        <v>10.870981338851207</v>
      </c>
      <c r="O43" s="24">
        <f>IF(Tabell2[[#This Row],[Beftettotal]]&lt;=E$434,E$434,IF(Tabell2[[#This Row],[Beftettotal]]&gt;=E$435,E$435,Tabell2[[#This Row],[Beftettotal]]))</f>
        <v>9.9557832678270621</v>
      </c>
      <c r="P43" s="24">
        <f>IF(Tabell2[[#This Row],[Befvekst10]]&lt;=F$434,F$434,IF(Tabell2[[#This Row],[Befvekst10]]&gt;=F$435,F$435,Tabell2[[#This Row],[Befvekst10]]))</f>
        <v>8.6556874760628011E-2</v>
      </c>
      <c r="Q43" s="24">
        <f>IF(Tabell2[[#This Row],[Kvinneandel]]&lt;=G$434,G$434,IF(Tabell2[[#This Row],[Kvinneandel]]&gt;=G$435,G$435,Tabell2[[#This Row],[Kvinneandel]]))</f>
        <v>0.10539302079661614</v>
      </c>
      <c r="R43" s="24">
        <f>IF(Tabell2[[#This Row],[Eldreandel]]&lt;=H$434,H$434,IF(Tabell2[[#This Row],[Eldreandel]]&gt;=H$435,H$435,Tabell2[[#This Row],[Eldreandel]]))</f>
        <v>0.1706027493831512</v>
      </c>
      <c r="S43" s="24">
        <f>IF(Tabell2[[#This Row],[Sysselsettingsvekst10]]&lt;=I$434,I$434,IF(Tabell2[[#This Row],[Sysselsettingsvekst10]]&gt;=I$435,I$435,Tabell2[[#This Row],[Sysselsettingsvekst10]]))</f>
        <v>-5.3348467650397247E-2</v>
      </c>
      <c r="T43" s="24">
        <f>IF(Tabell2[[#This Row],[Yrkesaktivandel]]&lt;=J$434,J$434,IF(Tabell2[[#This Row],[Yrkesaktivandel]]&gt;=J$435,J$435,Tabell2[[#This Row],[Yrkesaktivandel]]))</f>
        <v>0.83947532792004997</v>
      </c>
      <c r="U43" s="24">
        <f>IF(Tabell2[[#This Row],[Inntekt]]&lt;=K$434,K$434,IF(Tabell2[[#This Row],[Inntekt]]&gt;=K$435,K$435,Tabell2[[#This Row],[Inntekt]]))</f>
        <v>357100</v>
      </c>
      <c r="V43" s="7">
        <f>IF(Tabell2[[#This Row],[NIBR11-T]]&lt;=L$437,100,IF(Tabell2[[#This Row],[NIBR11-T]]&gt;=L$436,0,100*(L$436-Tabell2[[#This Row],[NIBR11-T]])/L$439))</f>
        <v>100</v>
      </c>
      <c r="W43" s="7">
        <f>(M$436-Tabell2[[#This Row],[ReisetidOslo-T]])*100/M$439</f>
        <v>99.73967093237296</v>
      </c>
      <c r="X43" s="7">
        <f>100-(N$436-Tabell2[[#This Row],[Beftettland-T]])*100/N$439</f>
        <v>7.0038397501346878</v>
      </c>
      <c r="Y43" s="7">
        <f>100-(O$436-Tabell2[[#This Row],[Beftettotal-T]])*100/O$439</f>
        <v>6.6116439988310702</v>
      </c>
      <c r="Z43" s="7">
        <f>100-(P$436-Tabell2[[#This Row],[Befvekst10-T]])*100/P$439</f>
        <v>63.798330701911759</v>
      </c>
      <c r="AA43" s="7">
        <f>100-(Q$436-Tabell2[[#This Row],[Kvinneandel-T]])*100/Q$439</f>
        <v>41.694492182445856</v>
      </c>
      <c r="AB43" s="7">
        <f>(R$436-Tabell2[[#This Row],[Eldreandel-T]])*100/R$439</f>
        <v>53.667253738200372</v>
      </c>
      <c r="AC43" s="7">
        <f>100-(S$436-Tabell2[[#This Row],[Sysselsettingsvekst10-T]])*100/S$439</f>
        <v>12.800065844056121</v>
      </c>
      <c r="AD43" s="7">
        <f>100-(T$436-Tabell2[[#This Row],[Yrkesaktivandel-T]])*100/T$439</f>
        <v>28.628625138715634</v>
      </c>
      <c r="AE43" s="7">
        <f>100-(U$436-Tabell2[[#This Row],[Inntekt-T]])*100/U$439</f>
        <v>14.321182710754996</v>
      </c>
      <c r="AF43" s="7">
        <v>20</v>
      </c>
      <c r="AG43" s="7">
        <v>9.973967093237297</v>
      </c>
      <c r="AH43" s="7">
        <v>0.66116439988310705</v>
      </c>
      <c r="AI43" s="7">
        <v>12.759666140382352</v>
      </c>
      <c r="AJ43" s="7">
        <v>2.0847246091222931</v>
      </c>
      <c r="AK43" s="7">
        <v>2.6833626869100189</v>
      </c>
      <c r="AL43" s="7">
        <v>1.2800065844056121</v>
      </c>
      <c r="AM43" s="7">
        <v>2.8628625138715638</v>
      </c>
      <c r="AN43" s="7">
        <v>1.4321182710754998</v>
      </c>
      <c r="AO4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53.737872298887737</v>
      </c>
    </row>
    <row r="44" spans="1:41" x14ac:dyDescent="0.3">
      <c r="A44" s="2" t="s">
        <v>41</v>
      </c>
      <c r="B44">
        <f>'Rådata-K'!N43</f>
        <v>1</v>
      </c>
      <c r="C44" s="7">
        <f>'Rådata-K'!M43</f>
        <v>1.3</v>
      </c>
      <c r="D44" s="24">
        <f>'Rådata-K'!O43</f>
        <v>1544.1390309113935</v>
      </c>
      <c r="E44" s="24">
        <f>'Rådata-K'!P43</f>
        <v>1449.9108106322535</v>
      </c>
      <c r="F44" s="24">
        <f>'Rådata-K'!Q43</f>
        <v>0.2228390578944337</v>
      </c>
      <c r="G44" s="24">
        <f>'Rådata-K'!R43</f>
        <v>0.18419781588420236</v>
      </c>
      <c r="H44" s="24">
        <f>'Rådata-K'!S43</f>
        <v>0.10607238870578228</v>
      </c>
      <c r="I44" s="24">
        <f>'Rådata-K'!T43</f>
        <v>0.14953866057489784</v>
      </c>
      <c r="J44" s="24">
        <f>'Rådata-K'!U43</f>
        <v>0.79495107506410934</v>
      </c>
      <c r="K44" s="24">
        <f>'Rådata-K'!L43</f>
        <v>470200</v>
      </c>
      <c r="L44" s="24">
        <f>Tabell2[[#This Row],[NIBR11]]</f>
        <v>1</v>
      </c>
      <c r="M44" s="24">
        <f>IF(Tabell2[[#This Row],[ReisetidOslo]]&lt;=C$434,C$434,IF(Tabell2[[#This Row],[ReisetidOslo]]&gt;=C$435,C$435,Tabell2[[#This Row],[ReisetidOslo]]))</f>
        <v>52.54</v>
      </c>
      <c r="N44" s="24">
        <f>IF(Tabell2[[#This Row],[Beftettland]]&lt;=D$434,D$434,IF(Tabell2[[#This Row],[Beftettland]]&gt;=D$435,D$435,Tabell2[[#This Row],[Beftettland]]))</f>
        <v>136.59179999736304</v>
      </c>
      <c r="O44" s="24">
        <f>IF(Tabell2[[#This Row],[Beftettotal]]&lt;=E$434,E$434,IF(Tabell2[[#This Row],[Beftettotal]]&gt;=E$435,E$435,Tabell2[[#This Row],[Beftettotal]]))</f>
        <v>131.96212083018065</v>
      </c>
      <c r="P44" s="24">
        <f>IF(Tabell2[[#This Row],[Befvekst10]]&lt;=F$434,F$434,IF(Tabell2[[#This Row],[Befvekst10]]&gt;=F$435,F$435,Tabell2[[#This Row],[Befvekst10]]))</f>
        <v>0.17599648151968622</v>
      </c>
      <c r="Q44" s="24">
        <f>IF(Tabell2[[#This Row],[Kvinneandel]]&lt;=G$434,G$434,IF(Tabell2[[#This Row],[Kvinneandel]]&gt;=G$435,G$435,Tabell2[[#This Row],[Kvinneandel]]))</f>
        <v>0.12758728250318055</v>
      </c>
      <c r="R44" s="24">
        <f>IF(Tabell2[[#This Row],[Eldreandel]]&lt;=H$434,H$434,IF(Tabell2[[#This Row],[Eldreandel]]&gt;=H$435,H$435,Tabell2[[#This Row],[Eldreandel]]))</f>
        <v>0.12767243783057225</v>
      </c>
      <c r="S44" s="24">
        <f>IF(Tabell2[[#This Row],[Sysselsettingsvekst10]]&lt;=I$434,I$434,IF(Tabell2[[#This Row],[Sysselsettingsvekst10]]&gt;=I$435,I$435,Tabell2[[#This Row],[Sysselsettingsvekst10]]))</f>
        <v>0.14953866057489784</v>
      </c>
      <c r="T44" s="24">
        <f>IF(Tabell2[[#This Row],[Yrkesaktivandel]]&lt;=J$434,J$434,IF(Tabell2[[#This Row],[Yrkesaktivandel]]&gt;=J$435,J$435,Tabell2[[#This Row],[Yrkesaktivandel]]))</f>
        <v>0.79888426611272945</v>
      </c>
      <c r="U44" s="24">
        <f>IF(Tabell2[[#This Row],[Inntekt]]&lt;=K$434,K$434,IF(Tabell2[[#This Row],[Inntekt]]&gt;=K$435,K$435,Tabell2[[#This Row],[Inntekt]]))</f>
        <v>433020</v>
      </c>
      <c r="V44" s="7">
        <f>IF(Tabell2[[#This Row],[NIBR11-T]]&lt;=L$437,100,IF(Tabell2[[#This Row],[NIBR11-T]]&gt;=L$436,0,100*(L$436-Tabell2[[#This Row],[NIBR11-T]])/L$439))</f>
        <v>100</v>
      </c>
      <c r="W44" s="7">
        <f>(M$436-Tabell2[[#This Row],[ReisetidOslo-T]])*100/M$439</f>
        <v>100</v>
      </c>
      <c r="X44" s="7">
        <f>100-(N$436-Tabell2[[#This Row],[Beftettland-T]])*100/N$439</f>
        <v>100</v>
      </c>
      <c r="Y44" s="7">
        <f>100-(O$436-Tabell2[[#This Row],[Beftettotal-T]])*100/O$439</f>
        <v>100</v>
      </c>
      <c r="Z44" s="7">
        <f>100-(P$436-Tabell2[[#This Row],[Befvekst10-T]])*100/P$439</f>
        <v>100</v>
      </c>
      <c r="AA44" s="7">
        <f>100-(Q$436-Tabell2[[#This Row],[Kvinneandel-T]])*100/Q$439</f>
        <v>100</v>
      </c>
      <c r="AB44" s="7">
        <f>(R$436-Tabell2[[#This Row],[Eldreandel-T]])*100/R$439</f>
        <v>100</v>
      </c>
      <c r="AC44" s="7">
        <f>100-(S$436-Tabell2[[#This Row],[Sysselsettingsvekst10-T]])*100/S$439</f>
        <v>79.012544064165468</v>
      </c>
      <c r="AD44" s="7">
        <f>100-(T$436-Tabell2[[#This Row],[Yrkesaktivandel-T]])*100/T$439</f>
        <v>0</v>
      </c>
      <c r="AE44" s="7">
        <f>100-(U$436-Tabell2[[#This Row],[Inntekt-T]])*100/U$439</f>
        <v>100</v>
      </c>
      <c r="AF44" s="7">
        <v>20</v>
      </c>
      <c r="AG44" s="7">
        <v>10</v>
      </c>
      <c r="AH44" s="7">
        <v>10</v>
      </c>
      <c r="AI44" s="7">
        <v>20</v>
      </c>
      <c r="AJ44" s="7">
        <v>5</v>
      </c>
      <c r="AK44" s="7">
        <v>5</v>
      </c>
      <c r="AL44" s="7">
        <v>7.9012544064165473</v>
      </c>
      <c r="AM44" s="7">
        <v>0</v>
      </c>
      <c r="AN44" s="7">
        <v>10</v>
      </c>
      <c r="AO4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87.901254406416541</v>
      </c>
    </row>
    <row r="45" spans="1:41" x14ac:dyDescent="0.3">
      <c r="A45" s="2" t="s">
        <v>42</v>
      </c>
      <c r="B45">
        <f>'Rådata-K'!N44</f>
        <v>5</v>
      </c>
      <c r="C45" s="7">
        <f>'Rådata-K'!M44</f>
        <v>69.666666666699996</v>
      </c>
      <c r="D45" s="24">
        <f>'Rådata-K'!O44</f>
        <v>18.718513853904284</v>
      </c>
      <c r="E45" s="24">
        <f>'Rådata-K'!P44</f>
        <v>17.207776544937044</v>
      </c>
      <c r="F45" s="24">
        <f>'Rådata-K'!Q44</f>
        <v>3.5473757547608065E-2</v>
      </c>
      <c r="G45" s="24">
        <f>'Rådata-K'!R44</f>
        <v>9.8514157555368659E-2</v>
      </c>
      <c r="H45" s="24">
        <f>'Rådata-K'!S44</f>
        <v>0.19069245864872442</v>
      </c>
      <c r="I45" s="24">
        <f>'Rådata-K'!T44</f>
        <v>-4.841442749939473E-3</v>
      </c>
      <c r="J45" s="24">
        <f>'Rådata-K'!U44</f>
        <v>0.76253848445724504</v>
      </c>
      <c r="K45" s="24">
        <f>'Rådata-K'!L44</f>
        <v>358500</v>
      </c>
      <c r="L45" s="24">
        <f>Tabell2[[#This Row],[NIBR11]]</f>
        <v>5</v>
      </c>
      <c r="M45" s="24">
        <f>IF(Tabell2[[#This Row],[ReisetidOslo]]&lt;=C$434,C$434,IF(Tabell2[[#This Row],[ReisetidOslo]]&gt;=C$435,C$435,Tabell2[[#This Row],[ReisetidOslo]]))</f>
        <v>69.666666666699996</v>
      </c>
      <c r="N45" s="24">
        <f>IF(Tabell2[[#This Row],[Beftettland]]&lt;=D$434,D$434,IF(Tabell2[[#This Row],[Beftettland]]&gt;=D$435,D$435,Tabell2[[#This Row],[Beftettland]]))</f>
        <v>18.718513853904284</v>
      </c>
      <c r="O45" s="24">
        <f>IF(Tabell2[[#This Row],[Beftettotal]]&lt;=E$434,E$434,IF(Tabell2[[#This Row],[Beftettotal]]&gt;=E$435,E$435,Tabell2[[#This Row],[Beftettotal]]))</f>
        <v>17.207776544937044</v>
      </c>
      <c r="P45" s="24">
        <f>IF(Tabell2[[#This Row],[Befvekst10]]&lt;=F$434,F$434,IF(Tabell2[[#This Row],[Befvekst10]]&gt;=F$435,F$435,Tabell2[[#This Row],[Befvekst10]]))</f>
        <v>3.5473757547608065E-2</v>
      </c>
      <c r="Q45" s="24">
        <f>IF(Tabell2[[#This Row],[Kvinneandel]]&lt;=G$434,G$434,IF(Tabell2[[#This Row],[Kvinneandel]]&gt;=G$435,G$435,Tabell2[[#This Row],[Kvinneandel]]))</f>
        <v>9.8514157555368659E-2</v>
      </c>
      <c r="R45" s="24">
        <f>IF(Tabell2[[#This Row],[Eldreandel]]&lt;=H$434,H$434,IF(Tabell2[[#This Row],[Eldreandel]]&gt;=H$435,H$435,Tabell2[[#This Row],[Eldreandel]]))</f>
        <v>0.19069245864872442</v>
      </c>
      <c r="S45" s="24">
        <f>IF(Tabell2[[#This Row],[Sysselsettingsvekst10]]&lt;=I$434,I$434,IF(Tabell2[[#This Row],[Sysselsettingsvekst10]]&gt;=I$435,I$435,Tabell2[[#This Row],[Sysselsettingsvekst10]]))</f>
        <v>-4.841442749939473E-3</v>
      </c>
      <c r="T45" s="24">
        <f>IF(Tabell2[[#This Row],[Yrkesaktivandel]]&lt;=J$434,J$434,IF(Tabell2[[#This Row],[Yrkesaktivandel]]&gt;=J$435,J$435,Tabell2[[#This Row],[Yrkesaktivandel]]))</f>
        <v>0.79888426611272945</v>
      </c>
      <c r="U45" s="24">
        <f>IF(Tabell2[[#This Row],[Inntekt]]&lt;=K$434,K$434,IF(Tabell2[[#This Row],[Inntekt]]&gt;=K$435,K$435,Tabell2[[#This Row],[Inntekt]]))</f>
        <v>358500</v>
      </c>
      <c r="V45" s="7">
        <f>IF(Tabell2[[#This Row],[NIBR11-T]]&lt;=L$437,100,IF(Tabell2[[#This Row],[NIBR11-T]]&gt;=L$436,0,100*(L$436-Tabell2[[#This Row],[NIBR11-T]])/L$439))</f>
        <v>60</v>
      </c>
      <c r="W45" s="7">
        <f>(M$436-Tabell2[[#This Row],[ReisetidOslo-T]])*100/M$439</f>
        <v>92.485557586823447</v>
      </c>
      <c r="X45" s="7">
        <f>100-(N$436-Tabell2[[#This Row],[Beftettland-T]])*100/N$439</f>
        <v>12.808688932020729</v>
      </c>
      <c r="Y45" s="7">
        <f>100-(O$436-Tabell2[[#This Row],[Beftettotal-T]])*100/O$439</f>
        <v>12.162599329612235</v>
      </c>
      <c r="Z45" s="7">
        <f>100-(P$436-Tabell2[[#This Row],[Befvekst10-T]])*100/P$439</f>
        <v>43.121874453137657</v>
      </c>
      <c r="AA45" s="7">
        <f>100-(Q$436-Tabell2[[#This Row],[Kvinneandel-T]])*100/Q$439</f>
        <v>23.623352002558093</v>
      </c>
      <c r="AB45" s="7">
        <f>(R$436-Tabell2[[#This Row],[Eldreandel-T]])*100/R$439</f>
        <v>31.985337902692958</v>
      </c>
      <c r="AC45" s="7">
        <f>100-(S$436-Tabell2[[#This Row],[Sysselsettingsvekst10-T]])*100/S$439</f>
        <v>28.630396520220884</v>
      </c>
      <c r="AD45" s="7">
        <f>100-(T$436-Tabell2[[#This Row],[Yrkesaktivandel-T]])*100/T$439</f>
        <v>0</v>
      </c>
      <c r="AE45" s="7">
        <f>100-(U$436-Tabell2[[#This Row],[Inntekt-T]])*100/U$439</f>
        <v>15.901139826204712</v>
      </c>
      <c r="AF45" s="7">
        <v>12</v>
      </c>
      <c r="AG45" s="7">
        <v>9.248555758682345</v>
      </c>
      <c r="AH45" s="7">
        <v>1.2162599329612236</v>
      </c>
      <c r="AI45" s="7">
        <v>8.6243748906275322</v>
      </c>
      <c r="AJ45" s="7">
        <v>1.1811676001279048</v>
      </c>
      <c r="AK45" s="7">
        <v>1.599266895134648</v>
      </c>
      <c r="AL45" s="7">
        <v>2.8630396520220884</v>
      </c>
      <c r="AM45" s="7">
        <v>0</v>
      </c>
      <c r="AN45" s="7">
        <v>1.5901139826204713</v>
      </c>
      <c r="AO4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38.322778712176209</v>
      </c>
    </row>
    <row r="46" spans="1:41" x14ac:dyDescent="0.3">
      <c r="A46" s="2" t="s">
        <v>43</v>
      </c>
      <c r="B46">
        <f>'Rådata-K'!N45</f>
        <v>4</v>
      </c>
      <c r="C46" s="7">
        <f>'Rådata-K'!M45</f>
        <v>83.916666666699996</v>
      </c>
      <c r="D46" s="24">
        <f>'Rådata-K'!O45</f>
        <v>89.215366843399181</v>
      </c>
      <c r="E46" s="24">
        <f>'Rådata-K'!P45</f>
        <v>85.826637031971273</v>
      </c>
      <c r="F46" s="24">
        <f>'Rådata-K'!Q45</f>
        <v>9.1581198129960573E-2</v>
      </c>
      <c r="G46" s="24">
        <f>'Rådata-K'!R45</f>
        <v>0.11743027888446216</v>
      </c>
      <c r="H46" s="24">
        <f>'Rådata-K'!S45</f>
        <v>0.18366533864541831</v>
      </c>
      <c r="I46" s="24">
        <f>'Rådata-K'!T45</f>
        <v>0.14189466283906493</v>
      </c>
      <c r="J46" s="24">
        <f>'Rådata-K'!U45</f>
        <v>0.84437756814630471</v>
      </c>
      <c r="K46" s="24">
        <f>'Rådata-K'!L45</f>
        <v>400700</v>
      </c>
      <c r="L46" s="24">
        <f>Tabell2[[#This Row],[NIBR11]]</f>
        <v>4</v>
      </c>
      <c r="M46" s="24">
        <f>IF(Tabell2[[#This Row],[ReisetidOslo]]&lt;=C$434,C$434,IF(Tabell2[[#This Row],[ReisetidOslo]]&gt;=C$435,C$435,Tabell2[[#This Row],[ReisetidOslo]]))</f>
        <v>83.916666666699996</v>
      </c>
      <c r="N46" s="24">
        <f>IF(Tabell2[[#This Row],[Beftettland]]&lt;=D$434,D$434,IF(Tabell2[[#This Row],[Beftettland]]&gt;=D$435,D$435,Tabell2[[#This Row],[Beftettland]]))</f>
        <v>89.215366843399181</v>
      </c>
      <c r="O46" s="24">
        <f>IF(Tabell2[[#This Row],[Beftettotal]]&lt;=E$434,E$434,IF(Tabell2[[#This Row],[Beftettotal]]&gt;=E$435,E$435,Tabell2[[#This Row],[Beftettotal]]))</f>
        <v>85.826637031971273</v>
      </c>
      <c r="P46" s="24">
        <f>IF(Tabell2[[#This Row],[Befvekst10]]&lt;=F$434,F$434,IF(Tabell2[[#This Row],[Befvekst10]]&gt;=F$435,F$435,Tabell2[[#This Row],[Befvekst10]]))</f>
        <v>9.1581198129960573E-2</v>
      </c>
      <c r="Q46" s="24">
        <f>IF(Tabell2[[#This Row],[Kvinneandel]]&lt;=G$434,G$434,IF(Tabell2[[#This Row],[Kvinneandel]]&gt;=G$435,G$435,Tabell2[[#This Row],[Kvinneandel]]))</f>
        <v>0.11743027888446216</v>
      </c>
      <c r="R46" s="24">
        <f>IF(Tabell2[[#This Row],[Eldreandel]]&lt;=H$434,H$434,IF(Tabell2[[#This Row],[Eldreandel]]&gt;=H$435,H$435,Tabell2[[#This Row],[Eldreandel]]))</f>
        <v>0.18366533864541831</v>
      </c>
      <c r="S46" s="24">
        <f>IF(Tabell2[[#This Row],[Sysselsettingsvekst10]]&lt;=I$434,I$434,IF(Tabell2[[#This Row],[Sysselsettingsvekst10]]&gt;=I$435,I$435,Tabell2[[#This Row],[Sysselsettingsvekst10]]))</f>
        <v>0.14189466283906493</v>
      </c>
      <c r="T46" s="24">
        <f>IF(Tabell2[[#This Row],[Yrkesaktivandel]]&lt;=J$434,J$434,IF(Tabell2[[#This Row],[Yrkesaktivandel]]&gt;=J$435,J$435,Tabell2[[#This Row],[Yrkesaktivandel]]))</f>
        <v>0.84437756814630471</v>
      </c>
      <c r="U46" s="24">
        <f>IF(Tabell2[[#This Row],[Inntekt]]&lt;=K$434,K$434,IF(Tabell2[[#This Row],[Inntekt]]&gt;=K$435,K$435,Tabell2[[#This Row],[Inntekt]]))</f>
        <v>400700</v>
      </c>
      <c r="V46" s="7">
        <f>IF(Tabell2[[#This Row],[NIBR11-T]]&lt;=L$437,100,IF(Tabell2[[#This Row],[NIBR11-T]]&gt;=L$436,0,100*(L$436-Tabell2[[#This Row],[NIBR11-T]])/L$439))</f>
        <v>70</v>
      </c>
      <c r="W46" s="7">
        <f>(M$436-Tabell2[[#This Row],[ReisetidOslo-T]])*100/M$439</f>
        <v>86.233272394867967</v>
      </c>
      <c r="X46" s="7">
        <f>100-(N$436-Tabell2[[#This Row],[Beftettland-T]])*100/N$439</f>
        <v>64.955475022634516</v>
      </c>
      <c r="Y46" s="7">
        <f>100-(O$436-Tabell2[[#This Row],[Beftettotal-T]])*100/O$439</f>
        <v>64.686121464539568</v>
      </c>
      <c r="Z46" s="7">
        <f>100-(P$436-Tabell2[[#This Row],[Befvekst10-T]])*100/P$439</f>
        <v>65.83198111311296</v>
      </c>
      <c r="AA46" s="7">
        <f>100-(Q$436-Tabell2[[#This Row],[Kvinneandel-T]])*100/Q$439</f>
        <v>73.317010418104928</v>
      </c>
      <c r="AB46" s="7">
        <f>(R$436-Tabell2[[#This Row],[Eldreandel-T]])*100/R$439</f>
        <v>39.569391134303835</v>
      </c>
      <c r="AC46" s="7">
        <f>100-(S$436-Tabell2[[#This Row],[Sysselsettingsvekst10-T]])*100/S$439</f>
        <v>76.517915459454898</v>
      </c>
      <c r="AD46" s="7">
        <f>100-(T$436-Tabell2[[#This Row],[Yrkesaktivandel-T]])*100/T$439</f>
        <v>32.086144886377625</v>
      </c>
      <c r="AE46" s="7">
        <f>100-(U$436-Tabell2[[#This Row],[Inntekt-T]])*100/U$439</f>
        <v>63.525561449046386</v>
      </c>
      <c r="AF46" s="7">
        <v>14</v>
      </c>
      <c r="AG46" s="7">
        <v>8.6233272394867964</v>
      </c>
      <c r="AH46" s="7">
        <v>6.4686121464539568</v>
      </c>
      <c r="AI46" s="7">
        <v>13.166396222622593</v>
      </c>
      <c r="AJ46" s="7">
        <v>3.6658505209052468</v>
      </c>
      <c r="AK46" s="7">
        <v>1.9784695567151918</v>
      </c>
      <c r="AL46" s="7">
        <v>7.6517915459454899</v>
      </c>
      <c r="AM46" s="7">
        <v>3.2086144886377626</v>
      </c>
      <c r="AN46" s="7">
        <v>6.3525561449046393</v>
      </c>
      <c r="AO4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65.11561786567168</v>
      </c>
    </row>
    <row r="47" spans="1:41" x14ac:dyDescent="0.3">
      <c r="A47" s="2" t="s">
        <v>44</v>
      </c>
      <c r="B47">
        <f>'Rådata-K'!N46</f>
        <v>4</v>
      </c>
      <c r="C47" s="7">
        <f>'Rådata-K'!M46</f>
        <v>91.916666666699996</v>
      </c>
      <c r="D47" s="24">
        <f>'Rådata-K'!O46</f>
        <v>29.929179101153625</v>
      </c>
      <c r="E47" s="24">
        <f>'Rådata-K'!P46</f>
        <v>26.245810841425214</v>
      </c>
      <c r="F47" s="24">
        <f>'Rådata-K'!Q46</f>
        <v>5.2438680575134011E-2</v>
      </c>
      <c r="G47" s="24">
        <f>'Rådata-K'!R46</f>
        <v>0.11009911599249933</v>
      </c>
      <c r="H47" s="24">
        <f>'Rådata-K'!S46</f>
        <v>0.16721731106944071</v>
      </c>
      <c r="I47" s="24">
        <f>'Rådata-K'!T46</f>
        <v>0.10185255774948532</v>
      </c>
      <c r="J47" s="24">
        <f>'Rådata-K'!U46</f>
        <v>0.86385098324080323</v>
      </c>
      <c r="K47" s="24">
        <f>'Rådata-K'!L46</f>
        <v>366800</v>
      </c>
      <c r="L47" s="24">
        <f>Tabell2[[#This Row],[NIBR11]]</f>
        <v>4</v>
      </c>
      <c r="M47" s="24">
        <f>IF(Tabell2[[#This Row],[ReisetidOslo]]&lt;=C$434,C$434,IF(Tabell2[[#This Row],[ReisetidOslo]]&gt;=C$435,C$435,Tabell2[[#This Row],[ReisetidOslo]]))</f>
        <v>91.916666666699996</v>
      </c>
      <c r="N47" s="24">
        <f>IF(Tabell2[[#This Row],[Beftettland]]&lt;=D$434,D$434,IF(Tabell2[[#This Row],[Beftettland]]&gt;=D$435,D$435,Tabell2[[#This Row],[Beftettland]]))</f>
        <v>29.929179101153625</v>
      </c>
      <c r="O47" s="24">
        <f>IF(Tabell2[[#This Row],[Beftettotal]]&lt;=E$434,E$434,IF(Tabell2[[#This Row],[Beftettotal]]&gt;=E$435,E$435,Tabell2[[#This Row],[Beftettotal]]))</f>
        <v>26.245810841425214</v>
      </c>
      <c r="P47" s="24">
        <f>IF(Tabell2[[#This Row],[Befvekst10]]&lt;=F$434,F$434,IF(Tabell2[[#This Row],[Befvekst10]]&gt;=F$435,F$435,Tabell2[[#This Row],[Befvekst10]]))</f>
        <v>5.2438680575134011E-2</v>
      </c>
      <c r="Q47" s="24">
        <f>IF(Tabell2[[#This Row],[Kvinneandel]]&lt;=G$434,G$434,IF(Tabell2[[#This Row],[Kvinneandel]]&gt;=G$435,G$435,Tabell2[[#This Row],[Kvinneandel]]))</f>
        <v>0.11009911599249933</v>
      </c>
      <c r="R47" s="24">
        <f>IF(Tabell2[[#This Row],[Eldreandel]]&lt;=H$434,H$434,IF(Tabell2[[#This Row],[Eldreandel]]&gt;=H$435,H$435,Tabell2[[#This Row],[Eldreandel]]))</f>
        <v>0.16721731106944071</v>
      </c>
      <c r="S47" s="24">
        <f>IF(Tabell2[[#This Row],[Sysselsettingsvekst10]]&lt;=I$434,I$434,IF(Tabell2[[#This Row],[Sysselsettingsvekst10]]&gt;=I$435,I$435,Tabell2[[#This Row],[Sysselsettingsvekst10]]))</f>
        <v>0.10185255774948532</v>
      </c>
      <c r="T47" s="24">
        <f>IF(Tabell2[[#This Row],[Yrkesaktivandel]]&lt;=J$434,J$434,IF(Tabell2[[#This Row],[Yrkesaktivandel]]&gt;=J$435,J$435,Tabell2[[#This Row],[Yrkesaktivandel]]))</f>
        <v>0.86385098324080323</v>
      </c>
      <c r="U47" s="24">
        <f>IF(Tabell2[[#This Row],[Inntekt]]&lt;=K$434,K$434,IF(Tabell2[[#This Row],[Inntekt]]&gt;=K$435,K$435,Tabell2[[#This Row],[Inntekt]]))</f>
        <v>366800</v>
      </c>
      <c r="V47" s="7">
        <f>IF(Tabell2[[#This Row],[NIBR11-T]]&lt;=L$437,100,IF(Tabell2[[#This Row],[NIBR11-T]]&gt;=L$436,0,100*(L$436-Tabell2[[#This Row],[NIBR11-T]])/L$439))</f>
        <v>70</v>
      </c>
      <c r="W47" s="7">
        <f>(M$436-Tabell2[[#This Row],[ReisetidOslo-T]])*100/M$439</f>
        <v>82.723217550261367</v>
      </c>
      <c r="X47" s="7">
        <f>100-(N$436-Tabell2[[#This Row],[Beftettland-T]])*100/N$439</f>
        <v>21.101259987198233</v>
      </c>
      <c r="Y47" s="7">
        <f>100-(O$436-Tabell2[[#This Row],[Beftettotal-T]])*100/O$439</f>
        <v>19.080659336124967</v>
      </c>
      <c r="Z47" s="7">
        <f>100-(P$436-Tabell2[[#This Row],[Befvekst10-T]])*100/P$439</f>
        <v>49.988614540272664</v>
      </c>
      <c r="AA47" s="7">
        <f>100-(Q$436-Tabell2[[#This Row],[Kvinneandel-T]])*100/Q$439</f>
        <v>54.057654961253888</v>
      </c>
      <c r="AB47" s="7">
        <f>(R$436-Tabell2[[#This Row],[Eldreandel-T]])*100/R$439</f>
        <v>57.321004402972811</v>
      </c>
      <c r="AC47" s="7">
        <f>100-(S$436-Tabell2[[#This Row],[Sysselsettingsvekst10-T]])*100/S$439</f>
        <v>63.450122375080369</v>
      </c>
      <c r="AD47" s="7">
        <f>100-(T$436-Tabell2[[#This Row],[Yrkesaktivandel-T]])*100/T$439</f>
        <v>45.820624254208816</v>
      </c>
      <c r="AE47" s="7">
        <f>100-(U$436-Tabell2[[#This Row],[Inntekt-T]])*100/U$439</f>
        <v>25.268028439228075</v>
      </c>
      <c r="AF47" s="7">
        <v>14</v>
      </c>
      <c r="AG47" s="7">
        <v>8.2723217550261374</v>
      </c>
      <c r="AH47" s="7">
        <v>1.9080659336124968</v>
      </c>
      <c r="AI47" s="7">
        <v>9.9977229080545342</v>
      </c>
      <c r="AJ47" s="7">
        <v>2.7028827480626947</v>
      </c>
      <c r="AK47" s="7">
        <v>2.8660502201486406</v>
      </c>
      <c r="AL47" s="7">
        <v>6.3450122375080369</v>
      </c>
      <c r="AM47" s="7">
        <v>4.5820624254208822</v>
      </c>
      <c r="AN47" s="7">
        <v>2.5268028439228076</v>
      </c>
      <c r="AO4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53.200921071756234</v>
      </c>
    </row>
    <row r="48" spans="1:41" x14ac:dyDescent="0.3">
      <c r="A48" s="2" t="s">
        <v>45</v>
      </c>
      <c r="B48">
        <f>'Rådata-K'!N47</f>
        <v>4</v>
      </c>
      <c r="C48" s="7">
        <f>'Rådata-K'!M47</f>
        <v>86.266666666700004</v>
      </c>
      <c r="D48" s="24">
        <f>'Rådata-K'!O47</f>
        <v>20.952643932072348</v>
      </c>
      <c r="E48" s="24">
        <f>'Rådata-K'!P47</f>
        <v>20.539194456474664</v>
      </c>
      <c r="F48" s="24">
        <f>'Rådata-K'!Q47</f>
        <v>4.0877914951989114E-2</v>
      </c>
      <c r="G48" s="24">
        <f>'Rådata-K'!R47</f>
        <v>0.11412756984712705</v>
      </c>
      <c r="H48" s="24">
        <f>'Rådata-K'!S47</f>
        <v>0.16908276225619398</v>
      </c>
      <c r="I48" s="24">
        <f>'Rådata-K'!T47</f>
        <v>5.9918557300756348E-2</v>
      </c>
      <c r="J48" s="24">
        <f>'Rådata-K'!U47</f>
        <v>0.83306691025348256</v>
      </c>
      <c r="K48" s="24">
        <f>'Rådata-K'!L47</f>
        <v>357300</v>
      </c>
      <c r="L48" s="24">
        <f>Tabell2[[#This Row],[NIBR11]]</f>
        <v>4</v>
      </c>
      <c r="M48" s="24">
        <f>IF(Tabell2[[#This Row],[ReisetidOslo]]&lt;=C$434,C$434,IF(Tabell2[[#This Row],[ReisetidOslo]]&gt;=C$435,C$435,Tabell2[[#This Row],[ReisetidOslo]]))</f>
        <v>86.266666666700004</v>
      </c>
      <c r="N48" s="24">
        <f>IF(Tabell2[[#This Row],[Beftettland]]&lt;=D$434,D$434,IF(Tabell2[[#This Row],[Beftettland]]&gt;=D$435,D$435,Tabell2[[#This Row],[Beftettland]]))</f>
        <v>20.952643932072348</v>
      </c>
      <c r="O48" s="24">
        <f>IF(Tabell2[[#This Row],[Beftettotal]]&lt;=E$434,E$434,IF(Tabell2[[#This Row],[Beftettotal]]&gt;=E$435,E$435,Tabell2[[#This Row],[Beftettotal]]))</f>
        <v>20.539194456474664</v>
      </c>
      <c r="P48" s="24">
        <f>IF(Tabell2[[#This Row],[Befvekst10]]&lt;=F$434,F$434,IF(Tabell2[[#This Row],[Befvekst10]]&gt;=F$435,F$435,Tabell2[[#This Row],[Befvekst10]]))</f>
        <v>4.0877914951989114E-2</v>
      </c>
      <c r="Q48" s="24">
        <f>IF(Tabell2[[#This Row],[Kvinneandel]]&lt;=G$434,G$434,IF(Tabell2[[#This Row],[Kvinneandel]]&gt;=G$435,G$435,Tabell2[[#This Row],[Kvinneandel]]))</f>
        <v>0.11412756984712705</v>
      </c>
      <c r="R48" s="24">
        <f>IF(Tabell2[[#This Row],[Eldreandel]]&lt;=H$434,H$434,IF(Tabell2[[#This Row],[Eldreandel]]&gt;=H$435,H$435,Tabell2[[#This Row],[Eldreandel]]))</f>
        <v>0.16908276225619398</v>
      </c>
      <c r="S48" s="24">
        <f>IF(Tabell2[[#This Row],[Sysselsettingsvekst10]]&lt;=I$434,I$434,IF(Tabell2[[#This Row],[Sysselsettingsvekst10]]&gt;=I$435,I$435,Tabell2[[#This Row],[Sysselsettingsvekst10]]))</f>
        <v>5.9918557300756348E-2</v>
      </c>
      <c r="T48" s="24">
        <f>IF(Tabell2[[#This Row],[Yrkesaktivandel]]&lt;=J$434,J$434,IF(Tabell2[[#This Row],[Yrkesaktivandel]]&gt;=J$435,J$435,Tabell2[[#This Row],[Yrkesaktivandel]]))</f>
        <v>0.83306691025348256</v>
      </c>
      <c r="U48" s="24">
        <f>IF(Tabell2[[#This Row],[Inntekt]]&lt;=K$434,K$434,IF(Tabell2[[#This Row],[Inntekt]]&gt;=K$435,K$435,Tabell2[[#This Row],[Inntekt]]))</f>
        <v>357300</v>
      </c>
      <c r="V48" s="7">
        <f>IF(Tabell2[[#This Row],[NIBR11-T]]&lt;=L$437,100,IF(Tabell2[[#This Row],[NIBR11-T]]&gt;=L$436,0,100*(L$436-Tabell2[[#This Row],[NIBR11-T]])/L$439))</f>
        <v>70</v>
      </c>
      <c r="W48" s="7">
        <f>(M$436-Tabell2[[#This Row],[ReisetidOslo-T]])*100/M$439</f>
        <v>85.202193784264765</v>
      </c>
      <c r="X48" s="7">
        <f>100-(N$436-Tabell2[[#This Row],[Beftettland-T]])*100/N$439</f>
        <v>14.461283315236614</v>
      </c>
      <c r="Y48" s="7">
        <f>100-(O$436-Tabell2[[#This Row],[Beftettotal-T]])*100/O$439</f>
        <v>14.712595076778584</v>
      </c>
      <c r="Z48" s="7">
        <f>100-(P$436-Tabell2[[#This Row],[Befvekst10-T]])*100/P$439</f>
        <v>45.309266887847841</v>
      </c>
      <c r="AA48" s="7">
        <f>100-(Q$436-Tabell2[[#This Row],[Kvinneandel-T]])*100/Q$439</f>
        <v>64.640617837832991</v>
      </c>
      <c r="AB48" s="7">
        <f>(R$436-Tabell2[[#This Row],[Eldreandel-T]])*100/R$439</f>
        <v>55.307707192358457</v>
      </c>
      <c r="AC48" s="7">
        <f>100-(S$436-Tabell2[[#This Row],[Sysselsettingsvekst10-T]])*100/S$439</f>
        <v>49.764906779193424</v>
      </c>
      <c r="AD48" s="7">
        <f>100-(T$436-Tabell2[[#This Row],[Yrkesaktivandel-T]])*100/T$439</f>
        <v>24.108807746912547</v>
      </c>
      <c r="AE48" s="7">
        <f>100-(U$436-Tabell2[[#This Row],[Inntekt-T]])*100/U$439</f>
        <v>14.54689087010496</v>
      </c>
      <c r="AF48" s="7">
        <v>14</v>
      </c>
      <c r="AG48" s="7">
        <v>8.5202193784264768</v>
      </c>
      <c r="AH48" s="7">
        <v>1.4712595076778585</v>
      </c>
      <c r="AI48" s="7">
        <v>9.0618533775695678</v>
      </c>
      <c r="AJ48" s="7">
        <v>3.2320308918916498</v>
      </c>
      <c r="AK48" s="7">
        <v>2.7653853596179232</v>
      </c>
      <c r="AL48" s="7">
        <v>4.976490677919343</v>
      </c>
      <c r="AM48" s="7">
        <v>2.4108807746912548</v>
      </c>
      <c r="AN48" s="7">
        <v>1.454689087010496</v>
      </c>
      <c r="AO4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47.892809054804566</v>
      </c>
    </row>
    <row r="49" spans="1:41" x14ac:dyDescent="0.3">
      <c r="A49" s="2" t="s">
        <v>46</v>
      </c>
      <c r="B49">
        <f>'Rådata-K'!N48</f>
        <v>4</v>
      </c>
      <c r="C49" s="7">
        <f>'Rådata-K'!M48</f>
        <v>74.016666666700004</v>
      </c>
      <c r="D49" s="24">
        <f>'Rådata-K'!O48</f>
        <v>31.390813206016354</v>
      </c>
      <c r="E49" s="24">
        <f>'Rådata-K'!P48</f>
        <v>27.777931186833822</v>
      </c>
      <c r="F49" s="24">
        <f>'Rådata-K'!Q48</f>
        <v>8.2190307137862462E-2</v>
      </c>
      <c r="G49" s="24">
        <f>'Rådata-K'!R48</f>
        <v>0.11456831850489586</v>
      </c>
      <c r="H49" s="24">
        <f>'Rådata-K'!S48</f>
        <v>0.16556488891097967</v>
      </c>
      <c r="I49" s="24">
        <f>'Rådata-K'!T48</f>
        <v>9.5597484276729539E-2</v>
      </c>
      <c r="J49" s="24">
        <f>'Rådata-K'!U48</f>
        <v>0.84241531664212077</v>
      </c>
      <c r="K49" s="24">
        <f>'Rådata-K'!L48</f>
        <v>368000</v>
      </c>
      <c r="L49" s="24">
        <f>Tabell2[[#This Row],[NIBR11]]</f>
        <v>4</v>
      </c>
      <c r="M49" s="24">
        <f>IF(Tabell2[[#This Row],[ReisetidOslo]]&lt;=C$434,C$434,IF(Tabell2[[#This Row],[ReisetidOslo]]&gt;=C$435,C$435,Tabell2[[#This Row],[ReisetidOslo]]))</f>
        <v>74.016666666700004</v>
      </c>
      <c r="N49" s="24">
        <f>IF(Tabell2[[#This Row],[Beftettland]]&lt;=D$434,D$434,IF(Tabell2[[#This Row],[Beftettland]]&gt;=D$435,D$435,Tabell2[[#This Row],[Beftettland]]))</f>
        <v>31.390813206016354</v>
      </c>
      <c r="O49" s="24">
        <f>IF(Tabell2[[#This Row],[Beftettotal]]&lt;=E$434,E$434,IF(Tabell2[[#This Row],[Beftettotal]]&gt;=E$435,E$435,Tabell2[[#This Row],[Beftettotal]]))</f>
        <v>27.777931186833822</v>
      </c>
      <c r="P49" s="24">
        <f>IF(Tabell2[[#This Row],[Befvekst10]]&lt;=F$434,F$434,IF(Tabell2[[#This Row],[Befvekst10]]&gt;=F$435,F$435,Tabell2[[#This Row],[Befvekst10]]))</f>
        <v>8.2190307137862462E-2</v>
      </c>
      <c r="Q49" s="24">
        <f>IF(Tabell2[[#This Row],[Kvinneandel]]&lt;=G$434,G$434,IF(Tabell2[[#This Row],[Kvinneandel]]&gt;=G$435,G$435,Tabell2[[#This Row],[Kvinneandel]]))</f>
        <v>0.11456831850489586</v>
      </c>
      <c r="R49" s="24">
        <f>IF(Tabell2[[#This Row],[Eldreandel]]&lt;=H$434,H$434,IF(Tabell2[[#This Row],[Eldreandel]]&gt;=H$435,H$435,Tabell2[[#This Row],[Eldreandel]]))</f>
        <v>0.16556488891097967</v>
      </c>
      <c r="S49" s="24">
        <f>IF(Tabell2[[#This Row],[Sysselsettingsvekst10]]&lt;=I$434,I$434,IF(Tabell2[[#This Row],[Sysselsettingsvekst10]]&gt;=I$435,I$435,Tabell2[[#This Row],[Sysselsettingsvekst10]]))</f>
        <v>9.5597484276729539E-2</v>
      </c>
      <c r="T49" s="24">
        <f>IF(Tabell2[[#This Row],[Yrkesaktivandel]]&lt;=J$434,J$434,IF(Tabell2[[#This Row],[Yrkesaktivandel]]&gt;=J$435,J$435,Tabell2[[#This Row],[Yrkesaktivandel]]))</f>
        <v>0.84241531664212077</v>
      </c>
      <c r="U49" s="24">
        <f>IF(Tabell2[[#This Row],[Inntekt]]&lt;=K$434,K$434,IF(Tabell2[[#This Row],[Inntekt]]&gt;=K$435,K$435,Tabell2[[#This Row],[Inntekt]]))</f>
        <v>368000</v>
      </c>
      <c r="V49" s="7">
        <f>IF(Tabell2[[#This Row],[NIBR11-T]]&lt;=L$437,100,IF(Tabell2[[#This Row],[NIBR11-T]]&gt;=L$436,0,100*(L$436-Tabell2[[#This Row],[NIBR11-T]])/L$439))</f>
        <v>70</v>
      </c>
      <c r="W49" s="7">
        <f>(M$436-Tabell2[[#This Row],[ReisetidOslo-T]])*100/M$439</f>
        <v>90.576965265068594</v>
      </c>
      <c r="X49" s="7">
        <f>100-(N$436-Tabell2[[#This Row],[Beftettland-T]])*100/N$439</f>
        <v>22.182436206800276</v>
      </c>
      <c r="Y49" s="7">
        <f>100-(O$436-Tabell2[[#This Row],[Beftettotal-T]])*100/O$439</f>
        <v>20.253403335431784</v>
      </c>
      <c r="Z49" s="7">
        <f>100-(P$436-Tabell2[[#This Row],[Befvekst10-T]])*100/P$439</f>
        <v>62.03091419847226</v>
      </c>
      <c r="AA49" s="7">
        <f>100-(Q$436-Tabell2[[#This Row],[Kvinneandel-T]])*100/Q$439</f>
        <v>65.798488040990748</v>
      </c>
      <c r="AB49" s="7">
        <f>(R$436-Tabell2[[#This Row],[Eldreandel-T]])*100/R$439</f>
        <v>59.10438900505244</v>
      </c>
      <c r="AC49" s="7">
        <f>100-(S$436-Tabell2[[#This Row],[Sysselsettingsvekst10-T]])*100/S$439</f>
        <v>61.408771010393892</v>
      </c>
      <c r="AD49" s="7">
        <f>100-(T$436-Tabell2[[#This Row],[Yrkesaktivandel-T]])*100/T$439</f>
        <v>30.702181022416042</v>
      </c>
      <c r="AE49" s="7">
        <f>100-(U$436-Tabell2[[#This Row],[Inntekt-T]])*100/U$439</f>
        <v>26.622277395327842</v>
      </c>
      <c r="AF49" s="7">
        <v>14</v>
      </c>
      <c r="AG49" s="7">
        <v>9.0576965265068594</v>
      </c>
      <c r="AH49" s="7">
        <v>2.0253403335431783</v>
      </c>
      <c r="AI49" s="7">
        <v>12.406182839694452</v>
      </c>
      <c r="AJ49" s="7">
        <v>3.2899244020495377</v>
      </c>
      <c r="AK49" s="7">
        <v>2.9552194502526223</v>
      </c>
      <c r="AL49" s="7">
        <v>6.1408771010393899</v>
      </c>
      <c r="AM49" s="7">
        <v>3.0702181022416042</v>
      </c>
      <c r="AN49" s="7">
        <v>2.6622277395327845</v>
      </c>
      <c r="AO4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55.607686494860424</v>
      </c>
    </row>
    <row r="50" spans="1:41" x14ac:dyDescent="0.3">
      <c r="A50" s="2" t="s">
        <v>47</v>
      </c>
      <c r="B50">
        <f>'Rådata-K'!N49</f>
        <v>5</v>
      </c>
      <c r="C50" s="7">
        <f>'Rådata-K'!M49</f>
        <v>66.599999999999994</v>
      </c>
      <c r="D50" s="24">
        <f>'Rådata-K'!O49</f>
        <v>10.792789381796764</v>
      </c>
      <c r="E50" s="24">
        <f>'Rådata-K'!P49</f>
        <v>10.097610894635336</v>
      </c>
      <c r="F50" s="24">
        <f>'Rådata-K'!Q49</f>
        <v>1.5838447832112523E-2</v>
      </c>
      <c r="G50" s="24">
        <f>'Rådata-K'!R49</f>
        <v>9.4133697135061395E-2</v>
      </c>
      <c r="H50" s="24">
        <f>'Rådata-K'!S49</f>
        <v>0.20366400311830052</v>
      </c>
      <c r="I50" s="24">
        <f>'Rådata-K'!T49</f>
        <v>9.6904441453566692E-2</v>
      </c>
      <c r="J50" s="24">
        <f>'Rådata-K'!U49</f>
        <v>0.81221320155312393</v>
      </c>
      <c r="K50" s="24">
        <f>'Rådata-K'!L49</f>
        <v>348500</v>
      </c>
      <c r="L50" s="24">
        <f>Tabell2[[#This Row],[NIBR11]]</f>
        <v>5</v>
      </c>
      <c r="M50" s="24">
        <f>IF(Tabell2[[#This Row],[ReisetidOslo]]&lt;=C$434,C$434,IF(Tabell2[[#This Row],[ReisetidOslo]]&gt;=C$435,C$435,Tabell2[[#This Row],[ReisetidOslo]]))</f>
        <v>66.599999999999994</v>
      </c>
      <c r="N50" s="24">
        <f>IF(Tabell2[[#This Row],[Beftettland]]&lt;=D$434,D$434,IF(Tabell2[[#This Row],[Beftettland]]&gt;=D$435,D$435,Tabell2[[#This Row],[Beftettland]]))</f>
        <v>10.792789381796764</v>
      </c>
      <c r="O50" s="24">
        <f>IF(Tabell2[[#This Row],[Beftettotal]]&lt;=E$434,E$434,IF(Tabell2[[#This Row],[Beftettotal]]&gt;=E$435,E$435,Tabell2[[#This Row],[Beftettotal]]))</f>
        <v>10.097610894635336</v>
      </c>
      <c r="P50" s="24">
        <f>IF(Tabell2[[#This Row],[Befvekst10]]&lt;=F$434,F$434,IF(Tabell2[[#This Row],[Befvekst10]]&gt;=F$435,F$435,Tabell2[[#This Row],[Befvekst10]]))</f>
        <v>1.5838447832112523E-2</v>
      </c>
      <c r="Q50" s="24">
        <f>IF(Tabell2[[#This Row],[Kvinneandel]]&lt;=G$434,G$434,IF(Tabell2[[#This Row],[Kvinneandel]]&gt;=G$435,G$435,Tabell2[[#This Row],[Kvinneandel]]))</f>
        <v>9.4133697135061395E-2</v>
      </c>
      <c r="R50" s="24">
        <f>IF(Tabell2[[#This Row],[Eldreandel]]&lt;=H$434,H$434,IF(Tabell2[[#This Row],[Eldreandel]]&gt;=H$435,H$435,Tabell2[[#This Row],[Eldreandel]]))</f>
        <v>0.20366400311830052</v>
      </c>
      <c r="S50" s="24">
        <f>IF(Tabell2[[#This Row],[Sysselsettingsvekst10]]&lt;=I$434,I$434,IF(Tabell2[[#This Row],[Sysselsettingsvekst10]]&gt;=I$435,I$435,Tabell2[[#This Row],[Sysselsettingsvekst10]]))</f>
        <v>9.6904441453566692E-2</v>
      </c>
      <c r="T50" s="24">
        <f>IF(Tabell2[[#This Row],[Yrkesaktivandel]]&lt;=J$434,J$434,IF(Tabell2[[#This Row],[Yrkesaktivandel]]&gt;=J$435,J$435,Tabell2[[#This Row],[Yrkesaktivandel]]))</f>
        <v>0.81221320155312393</v>
      </c>
      <c r="U50" s="24">
        <f>IF(Tabell2[[#This Row],[Inntekt]]&lt;=K$434,K$434,IF(Tabell2[[#This Row],[Inntekt]]&gt;=K$435,K$435,Tabell2[[#This Row],[Inntekt]]))</f>
        <v>348500</v>
      </c>
      <c r="V50" s="7">
        <f>IF(Tabell2[[#This Row],[NIBR11-T]]&lt;=L$437,100,IF(Tabell2[[#This Row],[NIBR11-T]]&gt;=L$436,0,100*(L$436-Tabell2[[#This Row],[NIBR11-T]])/L$439))</f>
        <v>60</v>
      </c>
      <c r="W50" s="7">
        <f>(M$436-Tabell2[[#This Row],[ReisetidOslo-T]])*100/M$439</f>
        <v>93.831078610603925</v>
      </c>
      <c r="X50" s="7">
        <f>100-(N$436-Tabell2[[#This Row],[Beftettland-T]])*100/N$439</f>
        <v>6.9460008667574158</v>
      </c>
      <c r="Y50" s="7">
        <f>100-(O$436-Tabell2[[#This Row],[Beftettotal-T]])*100/O$439</f>
        <v>6.7202043340382858</v>
      </c>
      <c r="Z50" s="7">
        <f>100-(P$436-Tabell2[[#This Row],[Befvekst10-T]])*100/P$439</f>
        <v>35.174265841655043</v>
      </c>
      <c r="AA50" s="7">
        <f>100-(Q$436-Tabell2[[#This Row],[Kvinneandel-T]])*100/Q$439</f>
        <v>12.115649126135295</v>
      </c>
      <c r="AB50" s="7">
        <f>(R$436-Tabell2[[#This Row],[Eldreandel-T]])*100/R$439</f>
        <v>17.985735831405044</v>
      </c>
      <c r="AC50" s="7">
        <f>100-(S$436-Tabell2[[#This Row],[Sysselsettingsvekst10-T]])*100/S$439</f>
        <v>61.835298185197473</v>
      </c>
      <c r="AD50" s="7">
        <f>100-(T$436-Tabell2[[#This Row],[Yrkesaktivandel-T]])*100/T$439</f>
        <v>9.4008158257238819</v>
      </c>
      <c r="AE50" s="7">
        <f>100-(U$436-Tabell2[[#This Row],[Inntekt-T]])*100/U$439</f>
        <v>4.6157318587066953</v>
      </c>
      <c r="AF50" s="7">
        <v>12</v>
      </c>
      <c r="AG50" s="7">
        <v>9.3831078610603935</v>
      </c>
      <c r="AH50" s="7">
        <v>0.67202043340382867</v>
      </c>
      <c r="AI50" s="7">
        <v>7.0348531683310087</v>
      </c>
      <c r="AJ50" s="7">
        <v>0.60578245630676486</v>
      </c>
      <c r="AK50" s="7">
        <v>0.89928679157025226</v>
      </c>
      <c r="AL50" s="7">
        <v>6.183529818519748</v>
      </c>
      <c r="AM50" s="7">
        <v>0.94008158257238827</v>
      </c>
      <c r="AN50" s="7">
        <v>0.46157318587066953</v>
      </c>
      <c r="AO5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38.180235297635058</v>
      </c>
    </row>
    <row r="51" spans="1:41" x14ac:dyDescent="0.3">
      <c r="A51" s="2" t="s">
        <v>48</v>
      </c>
      <c r="B51">
        <f>'Rådata-K'!N50</f>
        <v>5</v>
      </c>
      <c r="C51" s="7">
        <f>'Rådata-K'!M50</f>
        <v>54.95</v>
      </c>
      <c r="D51" s="24">
        <f>'Rådata-K'!O50</f>
        <v>16.493403473613895</v>
      </c>
      <c r="E51" s="24">
        <f>'Rådata-K'!P50</f>
        <v>15.290087858497504</v>
      </c>
      <c r="F51" s="24">
        <f>'Rådata-K'!Q50</f>
        <v>2.9446254071661349E-2</v>
      </c>
      <c r="G51" s="24">
        <f>'Rådata-K'!R50</f>
        <v>0.1066953550183521</v>
      </c>
      <c r="H51" s="24">
        <f>'Rådata-K'!S50</f>
        <v>0.16934565244905708</v>
      </c>
      <c r="I51" s="24">
        <f>'Rådata-K'!T50</f>
        <v>1.296596434359798E-2</v>
      </c>
      <c r="J51" s="24">
        <f>'Rådata-K'!U50</f>
        <v>0.82897862232779096</v>
      </c>
      <c r="K51" s="24">
        <f>'Rådata-K'!L50</f>
        <v>369200</v>
      </c>
      <c r="L51" s="24">
        <f>Tabell2[[#This Row],[NIBR11]]</f>
        <v>5</v>
      </c>
      <c r="M51" s="24">
        <f>IF(Tabell2[[#This Row],[ReisetidOslo]]&lt;=C$434,C$434,IF(Tabell2[[#This Row],[ReisetidOslo]]&gt;=C$435,C$435,Tabell2[[#This Row],[ReisetidOslo]]))</f>
        <v>54.95</v>
      </c>
      <c r="N51" s="24">
        <f>IF(Tabell2[[#This Row],[Beftettland]]&lt;=D$434,D$434,IF(Tabell2[[#This Row],[Beftettland]]&gt;=D$435,D$435,Tabell2[[#This Row],[Beftettland]]))</f>
        <v>16.493403473613895</v>
      </c>
      <c r="O51" s="24">
        <f>IF(Tabell2[[#This Row],[Beftettotal]]&lt;=E$434,E$434,IF(Tabell2[[#This Row],[Beftettotal]]&gt;=E$435,E$435,Tabell2[[#This Row],[Beftettotal]]))</f>
        <v>15.290087858497504</v>
      </c>
      <c r="P51" s="24">
        <f>IF(Tabell2[[#This Row],[Befvekst10]]&lt;=F$434,F$434,IF(Tabell2[[#This Row],[Befvekst10]]&gt;=F$435,F$435,Tabell2[[#This Row],[Befvekst10]]))</f>
        <v>2.9446254071661349E-2</v>
      </c>
      <c r="Q51" s="24">
        <f>IF(Tabell2[[#This Row],[Kvinneandel]]&lt;=G$434,G$434,IF(Tabell2[[#This Row],[Kvinneandel]]&gt;=G$435,G$435,Tabell2[[#This Row],[Kvinneandel]]))</f>
        <v>0.1066953550183521</v>
      </c>
      <c r="R51" s="24">
        <f>IF(Tabell2[[#This Row],[Eldreandel]]&lt;=H$434,H$434,IF(Tabell2[[#This Row],[Eldreandel]]&gt;=H$435,H$435,Tabell2[[#This Row],[Eldreandel]]))</f>
        <v>0.16934565244905708</v>
      </c>
      <c r="S51" s="24">
        <f>IF(Tabell2[[#This Row],[Sysselsettingsvekst10]]&lt;=I$434,I$434,IF(Tabell2[[#This Row],[Sysselsettingsvekst10]]&gt;=I$435,I$435,Tabell2[[#This Row],[Sysselsettingsvekst10]]))</f>
        <v>1.296596434359798E-2</v>
      </c>
      <c r="T51" s="24">
        <f>IF(Tabell2[[#This Row],[Yrkesaktivandel]]&lt;=J$434,J$434,IF(Tabell2[[#This Row],[Yrkesaktivandel]]&gt;=J$435,J$435,Tabell2[[#This Row],[Yrkesaktivandel]]))</f>
        <v>0.82897862232779096</v>
      </c>
      <c r="U51" s="24">
        <f>IF(Tabell2[[#This Row],[Inntekt]]&lt;=K$434,K$434,IF(Tabell2[[#This Row],[Inntekt]]&gt;=K$435,K$435,Tabell2[[#This Row],[Inntekt]]))</f>
        <v>369200</v>
      </c>
      <c r="V51" s="7">
        <f>IF(Tabell2[[#This Row],[NIBR11-T]]&lt;=L$437,100,IF(Tabell2[[#This Row],[NIBR11-T]]&gt;=L$436,0,100*(L$436-Tabell2[[#This Row],[NIBR11-T]])/L$439))</f>
        <v>60</v>
      </c>
      <c r="W51" s="7">
        <f>(M$436-Tabell2[[#This Row],[ReisetidOslo-T]])*100/M$439</f>
        <v>98.942595978062272</v>
      </c>
      <c r="X51" s="7">
        <f>100-(N$436-Tabell2[[#This Row],[Beftettland-T]])*100/N$439</f>
        <v>11.162766453093937</v>
      </c>
      <c r="Y51" s="7">
        <f>100-(O$436-Tabell2[[#This Row],[Beftettotal-T]])*100/O$439</f>
        <v>10.694726452458596</v>
      </c>
      <c r="Z51" s="7">
        <f>100-(P$436-Tabell2[[#This Row],[Befvekst10-T]])*100/P$439</f>
        <v>40.682175806908973</v>
      </c>
      <c r="AA51" s="7">
        <f>100-(Q$436-Tabell2[[#This Row],[Kvinneandel-T]])*100/Q$439</f>
        <v>45.115793559821064</v>
      </c>
      <c r="AB51" s="7">
        <f>(R$436-Tabell2[[#This Row],[Eldreandel-T]])*100/R$439</f>
        <v>55.023981680939237</v>
      </c>
      <c r="AC51" s="7">
        <f>100-(S$436-Tabell2[[#This Row],[Sysselsettingsvekst10-T]])*100/S$439</f>
        <v>34.441866989792373</v>
      </c>
      <c r="AD51" s="7">
        <f>100-(T$436-Tabell2[[#This Row],[Yrkesaktivandel-T]])*100/T$439</f>
        <v>21.225363528593178</v>
      </c>
      <c r="AE51" s="7">
        <f>100-(U$436-Tabell2[[#This Row],[Inntekt-T]])*100/U$439</f>
        <v>27.976526351427609</v>
      </c>
      <c r="AF51" s="7">
        <v>12</v>
      </c>
      <c r="AG51" s="7">
        <v>9.8942595978062275</v>
      </c>
      <c r="AH51" s="7">
        <v>1.0694726452458596</v>
      </c>
      <c r="AI51" s="7">
        <v>8.1364351613817956</v>
      </c>
      <c r="AJ51" s="7">
        <v>2.2557896779910531</v>
      </c>
      <c r="AK51" s="7">
        <v>2.751199084046962</v>
      </c>
      <c r="AL51" s="7">
        <v>3.4441866989792373</v>
      </c>
      <c r="AM51" s="7">
        <v>2.122536352859318</v>
      </c>
      <c r="AN51" s="7">
        <v>2.7976526351427609</v>
      </c>
      <c r="AO5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44.471531853453214</v>
      </c>
    </row>
    <row r="52" spans="1:41" x14ac:dyDescent="0.3">
      <c r="A52" s="2" t="s">
        <v>49</v>
      </c>
      <c r="B52">
        <f>'Rådata-K'!N51</f>
        <v>5</v>
      </c>
      <c r="C52" s="7">
        <f>'Rådata-K'!M51</f>
        <v>78.233333333299996</v>
      </c>
      <c r="D52" s="24">
        <f>'Rådata-K'!O51</f>
        <v>10.179829286483798</v>
      </c>
      <c r="E52" s="24">
        <f>'Rådata-K'!P51</f>
        <v>9.5910304658098973</v>
      </c>
      <c r="F52" s="24">
        <f>'Rådata-K'!Q51</f>
        <v>-4.819463815279712E-2</v>
      </c>
      <c r="G52" s="24">
        <f>'Rådata-K'!R51</f>
        <v>9.3780527515467269E-2</v>
      </c>
      <c r="H52" s="24">
        <f>'Rådata-K'!S51</f>
        <v>0.20302832953435362</v>
      </c>
      <c r="I52" s="24">
        <f>'Rådata-K'!T51</f>
        <v>-4.3772798332464835E-2</v>
      </c>
      <c r="J52" s="24">
        <f>'Rådata-K'!U51</f>
        <v>0.78602243313201037</v>
      </c>
      <c r="K52" s="24">
        <f>'Rådata-K'!L51</f>
        <v>329700</v>
      </c>
      <c r="L52" s="24">
        <f>Tabell2[[#This Row],[NIBR11]]</f>
        <v>5</v>
      </c>
      <c r="M52" s="24">
        <f>IF(Tabell2[[#This Row],[ReisetidOslo]]&lt;=C$434,C$434,IF(Tabell2[[#This Row],[ReisetidOslo]]&gt;=C$435,C$435,Tabell2[[#This Row],[ReisetidOslo]]))</f>
        <v>78.233333333299996</v>
      </c>
      <c r="N52" s="24">
        <f>IF(Tabell2[[#This Row],[Beftettland]]&lt;=D$434,D$434,IF(Tabell2[[#This Row],[Beftettland]]&gt;=D$435,D$435,Tabell2[[#This Row],[Beftettland]]))</f>
        <v>10.179829286483798</v>
      </c>
      <c r="O52" s="24">
        <f>IF(Tabell2[[#This Row],[Beftettotal]]&lt;=E$434,E$434,IF(Tabell2[[#This Row],[Beftettotal]]&gt;=E$435,E$435,Tabell2[[#This Row],[Beftettotal]]))</f>
        <v>9.5910304658098973</v>
      </c>
      <c r="P52" s="24">
        <f>IF(Tabell2[[#This Row],[Befvekst10]]&lt;=F$434,F$434,IF(Tabell2[[#This Row],[Befvekst10]]&gt;=F$435,F$435,Tabell2[[#This Row],[Befvekst10]]))</f>
        <v>-4.819463815279712E-2</v>
      </c>
      <c r="Q52" s="24">
        <f>IF(Tabell2[[#This Row],[Kvinneandel]]&lt;=G$434,G$434,IF(Tabell2[[#This Row],[Kvinneandel]]&gt;=G$435,G$435,Tabell2[[#This Row],[Kvinneandel]]))</f>
        <v>9.3780527515467269E-2</v>
      </c>
      <c r="R52" s="24">
        <f>IF(Tabell2[[#This Row],[Eldreandel]]&lt;=H$434,H$434,IF(Tabell2[[#This Row],[Eldreandel]]&gt;=H$435,H$435,Tabell2[[#This Row],[Eldreandel]]))</f>
        <v>0.20302832953435362</v>
      </c>
      <c r="S52" s="24">
        <f>IF(Tabell2[[#This Row],[Sysselsettingsvekst10]]&lt;=I$434,I$434,IF(Tabell2[[#This Row],[Sysselsettingsvekst10]]&gt;=I$435,I$435,Tabell2[[#This Row],[Sysselsettingsvekst10]]))</f>
        <v>-4.3772798332464835E-2</v>
      </c>
      <c r="T52" s="24">
        <f>IF(Tabell2[[#This Row],[Yrkesaktivandel]]&lt;=J$434,J$434,IF(Tabell2[[#This Row],[Yrkesaktivandel]]&gt;=J$435,J$435,Tabell2[[#This Row],[Yrkesaktivandel]]))</f>
        <v>0.79888426611272945</v>
      </c>
      <c r="U52" s="24">
        <f>IF(Tabell2[[#This Row],[Inntekt]]&lt;=K$434,K$434,IF(Tabell2[[#This Row],[Inntekt]]&gt;=K$435,K$435,Tabell2[[#This Row],[Inntekt]]))</f>
        <v>344410</v>
      </c>
      <c r="V52" s="7">
        <f>IF(Tabell2[[#This Row],[NIBR11-T]]&lt;=L$437,100,IF(Tabell2[[#This Row],[NIBR11-T]]&gt;=L$436,0,100*(L$436-Tabell2[[#This Row],[NIBR11-T]])/L$439))</f>
        <v>60</v>
      </c>
      <c r="W52" s="7">
        <f>(M$436-Tabell2[[#This Row],[ReisetidOslo-T]])*100/M$439</f>
        <v>88.726873857419804</v>
      </c>
      <c r="X52" s="7">
        <f>100-(N$436-Tabell2[[#This Row],[Beftettland-T]])*100/N$439</f>
        <v>6.4925919893833992</v>
      </c>
      <c r="Y52" s="7">
        <f>100-(O$436-Tabell2[[#This Row],[Beftettotal-T]])*100/O$439</f>
        <v>6.3324481373063151</v>
      </c>
      <c r="Z52" s="7">
        <f>100-(P$436-Tabell2[[#This Row],[Befvekst10-T]])*100/P$439</f>
        <v>9.2561666129039537</v>
      </c>
      <c r="AA52" s="7">
        <f>100-(Q$436-Tabell2[[#This Row],[Kvinneandel-T]])*100/Q$439</f>
        <v>11.187853721700748</v>
      </c>
      <c r="AB52" s="7">
        <f>(R$436-Tabell2[[#This Row],[Eldreandel-T]])*100/R$439</f>
        <v>18.671789619630367</v>
      </c>
      <c r="AC52" s="7">
        <f>100-(S$436-Tabell2[[#This Row],[Sysselsettingsvekst10-T]])*100/S$439</f>
        <v>15.925097982381388</v>
      </c>
      <c r="AD52" s="7">
        <f>100-(T$436-Tabell2[[#This Row],[Yrkesaktivandel-T]])*100/T$439</f>
        <v>0</v>
      </c>
      <c r="AE52" s="7">
        <f>100-(U$436-Tabell2[[#This Row],[Inntekt-T]])*100/U$439</f>
        <v>0</v>
      </c>
      <c r="AF52" s="7">
        <v>12</v>
      </c>
      <c r="AG52" s="7">
        <v>8.8726873857419815</v>
      </c>
      <c r="AH52" s="7">
        <v>0.63324481373063157</v>
      </c>
      <c r="AI52" s="7">
        <v>1.8512333225807909</v>
      </c>
      <c r="AJ52" s="7">
        <v>0.55939268608503745</v>
      </c>
      <c r="AK52" s="7">
        <v>0.93358948098151839</v>
      </c>
      <c r="AL52" s="7">
        <v>1.5925097982381389</v>
      </c>
      <c r="AM52" s="7">
        <v>0</v>
      </c>
      <c r="AN52" s="7">
        <v>0</v>
      </c>
      <c r="AO5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26.442657487358098</v>
      </c>
    </row>
    <row r="53" spans="1:41" x14ac:dyDescent="0.3">
      <c r="A53" s="2" t="s">
        <v>50</v>
      </c>
      <c r="B53">
        <f>'Rådata-K'!N52</f>
        <v>6</v>
      </c>
      <c r="C53" s="7">
        <f>'Rådata-K'!M52</f>
        <v>96.616666666699999</v>
      </c>
      <c r="D53" s="24">
        <f>'Rådata-K'!O52</f>
        <v>6.1267542223537133</v>
      </c>
      <c r="E53" s="24">
        <f>'Rådata-K'!P52</f>
        <v>5.6894059748915993</v>
      </c>
      <c r="F53" s="24">
        <f>'Rådata-K'!Q52</f>
        <v>-8.7198160214641662E-2</v>
      </c>
      <c r="G53" s="24">
        <f>'Rådata-K'!R52</f>
        <v>8.2511022464833092E-2</v>
      </c>
      <c r="H53" s="24">
        <f>'Rådata-K'!S52</f>
        <v>0.23556581986143188</v>
      </c>
      <c r="I53" s="24">
        <f>'Rådata-K'!T52</f>
        <v>-5.9386009058882694E-2</v>
      </c>
      <c r="J53" s="24">
        <f>'Rådata-K'!U52</f>
        <v>0.81177829099307164</v>
      </c>
      <c r="K53" s="24">
        <f>'Rådata-K'!L52</f>
        <v>342400</v>
      </c>
      <c r="L53" s="24">
        <f>Tabell2[[#This Row],[NIBR11]]</f>
        <v>6</v>
      </c>
      <c r="M53" s="24">
        <f>IF(Tabell2[[#This Row],[ReisetidOslo]]&lt;=C$434,C$434,IF(Tabell2[[#This Row],[ReisetidOslo]]&gt;=C$435,C$435,Tabell2[[#This Row],[ReisetidOslo]]))</f>
        <v>96.616666666699999</v>
      </c>
      <c r="N53" s="24">
        <f>IF(Tabell2[[#This Row],[Beftettland]]&lt;=D$434,D$434,IF(Tabell2[[#This Row],[Beftettland]]&gt;=D$435,D$435,Tabell2[[#This Row],[Beftettland]]))</f>
        <v>6.1267542223537133</v>
      </c>
      <c r="O53" s="24">
        <f>IF(Tabell2[[#This Row],[Beftettotal]]&lt;=E$434,E$434,IF(Tabell2[[#This Row],[Beftettotal]]&gt;=E$435,E$435,Tabell2[[#This Row],[Beftettotal]]))</f>
        <v>5.6894059748915993</v>
      </c>
      <c r="P53" s="24">
        <f>IF(Tabell2[[#This Row],[Befvekst10]]&lt;=F$434,F$434,IF(Tabell2[[#This Row],[Befvekst10]]&gt;=F$435,F$435,Tabell2[[#This Row],[Befvekst10]]))</f>
        <v>-7.1062862685144085E-2</v>
      </c>
      <c r="Q53" s="24">
        <f>IF(Tabell2[[#This Row],[Kvinneandel]]&lt;=G$434,G$434,IF(Tabell2[[#This Row],[Kvinneandel]]&gt;=G$435,G$435,Tabell2[[#This Row],[Kvinneandel]]))</f>
        <v>8.9521819157910881E-2</v>
      </c>
      <c r="R53" s="24">
        <f>IF(Tabell2[[#This Row],[Eldreandel]]&lt;=H$434,H$434,IF(Tabell2[[#This Row],[Eldreandel]]&gt;=H$435,H$435,Tabell2[[#This Row],[Eldreandel]]))</f>
        <v>0.22032896051974013</v>
      </c>
      <c r="S53" s="24">
        <f>IF(Tabell2[[#This Row],[Sysselsettingsvekst10]]&lt;=I$434,I$434,IF(Tabell2[[#This Row],[Sysselsettingsvekst10]]&gt;=I$435,I$435,Tabell2[[#This Row],[Sysselsettingsvekst10]]))</f>
        <v>-5.9386009058882694E-2</v>
      </c>
      <c r="T53" s="24">
        <f>IF(Tabell2[[#This Row],[Yrkesaktivandel]]&lt;=J$434,J$434,IF(Tabell2[[#This Row],[Yrkesaktivandel]]&gt;=J$435,J$435,Tabell2[[#This Row],[Yrkesaktivandel]]))</f>
        <v>0.81177829099307164</v>
      </c>
      <c r="U53" s="24">
        <f>IF(Tabell2[[#This Row],[Inntekt]]&lt;=K$434,K$434,IF(Tabell2[[#This Row],[Inntekt]]&gt;=K$435,K$435,Tabell2[[#This Row],[Inntekt]]))</f>
        <v>344410</v>
      </c>
      <c r="V53" s="7">
        <f>IF(Tabell2[[#This Row],[NIBR11-T]]&lt;=L$437,100,IF(Tabell2[[#This Row],[NIBR11-T]]&gt;=L$436,0,100*(L$436-Tabell2[[#This Row],[NIBR11-T]])/L$439))</f>
        <v>50</v>
      </c>
      <c r="W53" s="7">
        <f>(M$436-Tabell2[[#This Row],[ReisetidOslo-T]])*100/M$439</f>
        <v>80.661060329055005</v>
      </c>
      <c r="X53" s="7">
        <f>100-(N$436-Tabell2[[#This Row],[Beftettland-T]])*100/N$439</f>
        <v>3.4945171900744612</v>
      </c>
      <c r="Y53" s="7">
        <f>100-(O$436-Tabell2[[#This Row],[Beftettotal-T]])*100/O$439</f>
        <v>3.3459942840010228</v>
      </c>
      <c r="Z53" s="7">
        <f>100-(P$436-Tabell2[[#This Row],[Befvekst10-T]])*100/P$439</f>
        <v>0</v>
      </c>
      <c r="AA53" s="7">
        <f>100-(Q$436-Tabell2[[#This Row],[Kvinneandel-T]])*100/Q$439</f>
        <v>0</v>
      </c>
      <c r="AB53" s="7">
        <f>(R$436-Tabell2[[#This Row],[Eldreandel-T]])*100/R$439</f>
        <v>0</v>
      </c>
      <c r="AC53" s="7">
        <f>100-(S$436-Tabell2[[#This Row],[Sysselsettingsvekst10-T]])*100/S$439</f>
        <v>10.82970635151878</v>
      </c>
      <c r="AD53" s="7">
        <f>100-(T$436-Tabell2[[#This Row],[Yrkesaktivandel-T]])*100/T$439</f>
        <v>9.0940760944079528</v>
      </c>
      <c r="AE53" s="7">
        <f>100-(U$436-Tabell2[[#This Row],[Inntekt-T]])*100/U$439</f>
        <v>0</v>
      </c>
      <c r="AF53" s="7">
        <v>10</v>
      </c>
      <c r="AG53" s="7">
        <v>8.0661060329055001</v>
      </c>
      <c r="AH53" s="7">
        <v>0.33459942840010232</v>
      </c>
      <c r="AI53" s="7">
        <v>0</v>
      </c>
      <c r="AJ53" s="7">
        <v>0</v>
      </c>
      <c r="AK53" s="7">
        <v>0</v>
      </c>
      <c r="AL53" s="7">
        <v>1.082970635151878</v>
      </c>
      <c r="AM53" s="7">
        <v>0.90940760944079535</v>
      </c>
      <c r="AN53" s="7">
        <v>0</v>
      </c>
      <c r="AO5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20.393083705898277</v>
      </c>
    </row>
    <row r="54" spans="1:41" x14ac:dyDescent="0.3">
      <c r="A54" s="2" t="s">
        <v>51</v>
      </c>
      <c r="B54">
        <f>'Rådata-K'!N53</f>
        <v>5</v>
      </c>
      <c r="C54" s="7">
        <f>'Rådata-K'!M53</f>
        <v>111.333333333</v>
      </c>
      <c r="D54" s="24">
        <f>'Rådata-K'!O53</f>
        <v>7.4268866045103197</v>
      </c>
      <c r="E54" s="24">
        <f>'Rådata-K'!P53</f>
        <v>7.162756739101197</v>
      </c>
      <c r="F54" s="24">
        <f>'Rådata-K'!Q53</f>
        <v>-3.3445683173450869E-2</v>
      </c>
      <c r="G54" s="24">
        <f>'Rådata-K'!R53</f>
        <v>9.2006437768240343E-2</v>
      </c>
      <c r="H54" s="24">
        <f>'Rådata-K'!S53</f>
        <v>0.22746781115879827</v>
      </c>
      <c r="I54" s="24">
        <f>'Rådata-K'!T53</f>
        <v>-5.162393162393164E-2</v>
      </c>
      <c r="J54" s="24">
        <f>'Rådata-K'!U53</f>
        <v>0.79893410852713176</v>
      </c>
      <c r="K54" s="24">
        <f>'Rådata-K'!L53</f>
        <v>335200</v>
      </c>
      <c r="L54" s="24">
        <f>Tabell2[[#This Row],[NIBR11]]</f>
        <v>5</v>
      </c>
      <c r="M54" s="24">
        <f>IF(Tabell2[[#This Row],[ReisetidOslo]]&lt;=C$434,C$434,IF(Tabell2[[#This Row],[ReisetidOslo]]&gt;=C$435,C$435,Tabell2[[#This Row],[ReisetidOslo]]))</f>
        <v>111.333333333</v>
      </c>
      <c r="N54" s="24">
        <f>IF(Tabell2[[#This Row],[Beftettland]]&lt;=D$434,D$434,IF(Tabell2[[#This Row],[Beftettland]]&gt;=D$435,D$435,Tabell2[[#This Row],[Beftettland]]))</f>
        <v>7.4268866045103197</v>
      </c>
      <c r="O54" s="24">
        <f>IF(Tabell2[[#This Row],[Beftettotal]]&lt;=E$434,E$434,IF(Tabell2[[#This Row],[Beftettotal]]&gt;=E$435,E$435,Tabell2[[#This Row],[Beftettotal]]))</f>
        <v>7.162756739101197</v>
      </c>
      <c r="P54" s="24">
        <f>IF(Tabell2[[#This Row],[Befvekst10]]&lt;=F$434,F$434,IF(Tabell2[[#This Row],[Befvekst10]]&gt;=F$435,F$435,Tabell2[[#This Row],[Befvekst10]]))</f>
        <v>-3.3445683173450869E-2</v>
      </c>
      <c r="Q54" s="24">
        <f>IF(Tabell2[[#This Row],[Kvinneandel]]&lt;=G$434,G$434,IF(Tabell2[[#This Row],[Kvinneandel]]&gt;=G$435,G$435,Tabell2[[#This Row],[Kvinneandel]]))</f>
        <v>9.2006437768240343E-2</v>
      </c>
      <c r="R54" s="24">
        <f>IF(Tabell2[[#This Row],[Eldreandel]]&lt;=H$434,H$434,IF(Tabell2[[#This Row],[Eldreandel]]&gt;=H$435,H$435,Tabell2[[#This Row],[Eldreandel]]))</f>
        <v>0.22032896051974013</v>
      </c>
      <c r="S54" s="24">
        <f>IF(Tabell2[[#This Row],[Sysselsettingsvekst10]]&lt;=I$434,I$434,IF(Tabell2[[#This Row],[Sysselsettingsvekst10]]&gt;=I$435,I$435,Tabell2[[#This Row],[Sysselsettingsvekst10]]))</f>
        <v>-5.162393162393164E-2</v>
      </c>
      <c r="T54" s="24">
        <f>IF(Tabell2[[#This Row],[Yrkesaktivandel]]&lt;=J$434,J$434,IF(Tabell2[[#This Row],[Yrkesaktivandel]]&gt;=J$435,J$435,Tabell2[[#This Row],[Yrkesaktivandel]]))</f>
        <v>0.79893410852713176</v>
      </c>
      <c r="U54" s="24">
        <f>IF(Tabell2[[#This Row],[Inntekt]]&lt;=K$434,K$434,IF(Tabell2[[#This Row],[Inntekt]]&gt;=K$435,K$435,Tabell2[[#This Row],[Inntekt]]))</f>
        <v>344410</v>
      </c>
      <c r="V54" s="7">
        <f>IF(Tabell2[[#This Row],[NIBR11-T]]&lt;=L$437,100,IF(Tabell2[[#This Row],[NIBR11-T]]&gt;=L$436,0,100*(L$436-Tabell2[[#This Row],[NIBR11-T]])/L$439))</f>
        <v>60</v>
      </c>
      <c r="W54" s="7">
        <f>(M$436-Tabell2[[#This Row],[ReisetidOslo-T]])*100/M$439</f>
        <v>74.204021937991683</v>
      </c>
      <c r="X54" s="7">
        <f>100-(N$436-Tabell2[[#This Row],[Beftettland-T]])*100/N$439</f>
        <v>4.4562299807419095</v>
      </c>
      <c r="Y54" s="7">
        <f>100-(O$436-Tabell2[[#This Row],[Beftettotal-T]])*100/O$439</f>
        <v>4.4737537793819797</v>
      </c>
      <c r="Z54" s="7">
        <f>100-(P$436-Tabell2[[#This Row],[Befvekst10-T]])*100/P$439</f>
        <v>15.225969142258322</v>
      </c>
      <c r="AA54" s="7">
        <f>100-(Q$436-Tabell2[[#This Row],[Kvinneandel-T]])*100/Q$439</f>
        <v>6.5272254478894212</v>
      </c>
      <c r="AB54" s="7">
        <f>(R$436-Tabell2[[#This Row],[Eldreandel-T]])*100/R$439</f>
        <v>0</v>
      </c>
      <c r="AC54" s="7">
        <f>100-(S$436-Tabell2[[#This Row],[Sysselsettingsvekst10-T]])*100/S$439</f>
        <v>13.362870419639407</v>
      </c>
      <c r="AD54" s="7">
        <f>100-(T$436-Tabell2[[#This Row],[Yrkesaktivandel-T]])*100/T$439</f>
        <v>3.5153546973120342E-2</v>
      </c>
      <c r="AE54" s="7">
        <f>100-(U$436-Tabell2[[#This Row],[Inntekt-T]])*100/U$439</f>
        <v>0</v>
      </c>
      <c r="AF54" s="7">
        <v>12</v>
      </c>
      <c r="AG54" s="7">
        <v>7.4204021937991689</v>
      </c>
      <c r="AH54" s="7">
        <v>0.44737537793819798</v>
      </c>
      <c r="AI54" s="7">
        <v>3.0451938284516644</v>
      </c>
      <c r="AJ54" s="7">
        <v>0.3263612723944711</v>
      </c>
      <c r="AK54" s="7">
        <v>0</v>
      </c>
      <c r="AL54" s="7">
        <v>1.3362870419639408</v>
      </c>
      <c r="AM54" s="7">
        <v>3.5153546973120346E-3</v>
      </c>
      <c r="AN54" s="7">
        <v>0</v>
      </c>
      <c r="AO5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24.57913506924476</v>
      </c>
    </row>
    <row r="55" spans="1:41" x14ac:dyDescent="0.3">
      <c r="A55" s="2" t="s">
        <v>52</v>
      </c>
      <c r="B55">
        <f>'Rådata-K'!N54</f>
        <v>5</v>
      </c>
      <c r="C55" s="7">
        <f>'Rådata-K'!M54</f>
        <v>108.283333333</v>
      </c>
      <c r="D55" s="24">
        <f>'Rådata-K'!O54</f>
        <v>5.5484232738648611</v>
      </c>
      <c r="E55" s="24">
        <f>'Rådata-K'!P54</f>
        <v>5.331215970961888</v>
      </c>
      <c r="F55" s="24">
        <f>'Rådata-K'!Q54</f>
        <v>-3.737839221710193E-2</v>
      </c>
      <c r="G55" s="24">
        <f>'Rådata-K'!R54</f>
        <v>8.457446808510638E-2</v>
      </c>
      <c r="H55" s="24">
        <f>'Rådata-K'!S54</f>
        <v>0.21728723404255318</v>
      </c>
      <c r="I55" s="24">
        <f>'Rådata-K'!T54</f>
        <v>2.4032042723631575E-2</v>
      </c>
      <c r="J55" s="24">
        <f>'Rådata-K'!U54</f>
        <v>0.81775035595633605</v>
      </c>
      <c r="K55" s="24">
        <f>'Rådata-K'!L54</f>
        <v>344500</v>
      </c>
      <c r="L55" s="24">
        <f>Tabell2[[#This Row],[NIBR11]]</f>
        <v>5</v>
      </c>
      <c r="M55" s="24">
        <f>IF(Tabell2[[#This Row],[ReisetidOslo]]&lt;=C$434,C$434,IF(Tabell2[[#This Row],[ReisetidOslo]]&gt;=C$435,C$435,Tabell2[[#This Row],[ReisetidOslo]]))</f>
        <v>108.283333333</v>
      </c>
      <c r="N55" s="24">
        <f>IF(Tabell2[[#This Row],[Beftettland]]&lt;=D$434,D$434,IF(Tabell2[[#This Row],[Beftettland]]&gt;=D$435,D$435,Tabell2[[#This Row],[Beftettland]]))</f>
        <v>5.5484232738648611</v>
      </c>
      <c r="O55" s="24">
        <f>IF(Tabell2[[#This Row],[Beftettotal]]&lt;=E$434,E$434,IF(Tabell2[[#This Row],[Beftettotal]]&gt;=E$435,E$435,Tabell2[[#This Row],[Beftettotal]]))</f>
        <v>5.331215970961888</v>
      </c>
      <c r="P55" s="24">
        <f>IF(Tabell2[[#This Row],[Befvekst10]]&lt;=F$434,F$434,IF(Tabell2[[#This Row],[Befvekst10]]&gt;=F$435,F$435,Tabell2[[#This Row],[Befvekst10]]))</f>
        <v>-3.737839221710193E-2</v>
      </c>
      <c r="Q55" s="24">
        <f>IF(Tabell2[[#This Row],[Kvinneandel]]&lt;=G$434,G$434,IF(Tabell2[[#This Row],[Kvinneandel]]&gt;=G$435,G$435,Tabell2[[#This Row],[Kvinneandel]]))</f>
        <v>8.9521819157910881E-2</v>
      </c>
      <c r="R55" s="24">
        <f>IF(Tabell2[[#This Row],[Eldreandel]]&lt;=H$434,H$434,IF(Tabell2[[#This Row],[Eldreandel]]&gt;=H$435,H$435,Tabell2[[#This Row],[Eldreandel]]))</f>
        <v>0.21728723404255318</v>
      </c>
      <c r="S55" s="24">
        <f>IF(Tabell2[[#This Row],[Sysselsettingsvekst10]]&lt;=I$434,I$434,IF(Tabell2[[#This Row],[Sysselsettingsvekst10]]&gt;=I$435,I$435,Tabell2[[#This Row],[Sysselsettingsvekst10]]))</f>
        <v>2.4032042723631575E-2</v>
      </c>
      <c r="T55" s="24">
        <f>IF(Tabell2[[#This Row],[Yrkesaktivandel]]&lt;=J$434,J$434,IF(Tabell2[[#This Row],[Yrkesaktivandel]]&gt;=J$435,J$435,Tabell2[[#This Row],[Yrkesaktivandel]]))</f>
        <v>0.81775035595633605</v>
      </c>
      <c r="U55" s="24">
        <f>IF(Tabell2[[#This Row],[Inntekt]]&lt;=K$434,K$434,IF(Tabell2[[#This Row],[Inntekt]]&gt;=K$435,K$435,Tabell2[[#This Row],[Inntekt]]))</f>
        <v>344500</v>
      </c>
      <c r="V55" s="7">
        <f>IF(Tabell2[[#This Row],[NIBR11-T]]&lt;=L$437,100,IF(Tabell2[[#This Row],[NIBR11-T]]&gt;=L$436,0,100*(L$436-Tabell2[[#This Row],[NIBR11-T]])/L$439))</f>
        <v>60</v>
      </c>
      <c r="W55" s="7">
        <f>(M$436-Tabell2[[#This Row],[ReisetidOslo-T]])*100/M$439</f>
        <v>75.542230347497934</v>
      </c>
      <c r="X55" s="7">
        <f>100-(N$436-Tabell2[[#This Row],[Beftettland-T]])*100/N$439</f>
        <v>3.0667236222548695</v>
      </c>
      <c r="Y55" s="7">
        <f>100-(O$436-Tabell2[[#This Row],[Beftettotal-T]])*100/O$439</f>
        <v>3.0718218412297489</v>
      </c>
      <c r="Z55" s="7">
        <f>100-(P$436-Tabell2[[#This Row],[Befvekst10-T]])*100/P$439</f>
        <v>13.634161693603161</v>
      </c>
      <c r="AA55" s="7">
        <f>100-(Q$436-Tabell2[[#This Row],[Kvinneandel-T]])*100/Q$439</f>
        <v>0</v>
      </c>
      <c r="AB55" s="7">
        <f>(R$436-Tabell2[[#This Row],[Eldreandel-T]])*100/R$439</f>
        <v>3.2827980037530029</v>
      </c>
      <c r="AC55" s="7">
        <f>100-(S$436-Tabell2[[#This Row],[Sysselsettingsvekst10-T]])*100/S$439</f>
        <v>38.053296064318779</v>
      </c>
      <c r="AD55" s="7">
        <f>100-(T$436-Tabell2[[#This Row],[Yrkesaktivandel-T]])*100/T$439</f>
        <v>13.306136620169312</v>
      </c>
      <c r="AE55" s="7">
        <f>100-(U$436-Tabell2[[#This Row],[Inntekt-T]])*100/U$439</f>
        <v>0.10156867170748285</v>
      </c>
      <c r="AF55" s="7">
        <v>12</v>
      </c>
      <c r="AG55" s="7">
        <v>7.5542230347497936</v>
      </c>
      <c r="AH55" s="7">
        <v>0.30718218412297493</v>
      </c>
      <c r="AI55" s="7">
        <v>2.7268323387206324</v>
      </c>
      <c r="AJ55" s="7">
        <v>0</v>
      </c>
      <c r="AK55" s="7">
        <v>0.16413990018765015</v>
      </c>
      <c r="AL55" s="7">
        <v>3.805329606431878</v>
      </c>
      <c r="AM55" s="7">
        <v>1.3306136620169313</v>
      </c>
      <c r="AN55" s="7">
        <v>1.0156867170748285E-2</v>
      </c>
      <c r="AO5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27.89847759340061</v>
      </c>
    </row>
    <row r="56" spans="1:41" x14ac:dyDescent="0.3">
      <c r="A56" s="2" t="s">
        <v>53</v>
      </c>
      <c r="B56">
        <f>'Rådata-K'!N55</f>
        <v>5</v>
      </c>
      <c r="C56" s="7">
        <f>'Rådata-K'!M55</f>
        <v>95.2</v>
      </c>
      <c r="D56" s="24">
        <f>'Rådata-K'!O55</f>
        <v>17.391951570485784</v>
      </c>
      <c r="E56" s="24">
        <f>'Rådata-K'!P55</f>
        <v>17.107435999642071</v>
      </c>
      <c r="F56" s="24">
        <f>'Rådata-K'!Q55</f>
        <v>0.1073083403538333</v>
      </c>
      <c r="G56" s="24">
        <f>'Rådata-K'!R55</f>
        <v>0.12639087018544937</v>
      </c>
      <c r="H56" s="24">
        <f>'Rådata-K'!S55</f>
        <v>0.16628625772705657</v>
      </c>
      <c r="I56" s="24">
        <f>'Rådata-K'!T55</f>
        <v>8.5651456844419993E-2</v>
      </c>
      <c r="J56" s="24">
        <f>'Rådata-K'!U55</f>
        <v>0.83033144173040541</v>
      </c>
      <c r="K56" s="24">
        <f>'Rådata-K'!L55</f>
        <v>376500</v>
      </c>
      <c r="L56" s="24">
        <f>Tabell2[[#This Row],[NIBR11]]</f>
        <v>5</v>
      </c>
      <c r="M56" s="24">
        <f>IF(Tabell2[[#This Row],[ReisetidOslo]]&lt;=C$434,C$434,IF(Tabell2[[#This Row],[ReisetidOslo]]&gt;=C$435,C$435,Tabell2[[#This Row],[ReisetidOslo]]))</f>
        <v>95.2</v>
      </c>
      <c r="N56" s="24">
        <f>IF(Tabell2[[#This Row],[Beftettland]]&lt;=D$434,D$434,IF(Tabell2[[#This Row],[Beftettland]]&gt;=D$435,D$435,Tabell2[[#This Row],[Beftettland]]))</f>
        <v>17.391951570485784</v>
      </c>
      <c r="O56" s="24">
        <f>IF(Tabell2[[#This Row],[Beftettotal]]&lt;=E$434,E$434,IF(Tabell2[[#This Row],[Beftettotal]]&gt;=E$435,E$435,Tabell2[[#This Row],[Beftettotal]]))</f>
        <v>17.107435999642071</v>
      </c>
      <c r="P56" s="24">
        <f>IF(Tabell2[[#This Row],[Befvekst10]]&lt;=F$434,F$434,IF(Tabell2[[#This Row],[Befvekst10]]&gt;=F$435,F$435,Tabell2[[#This Row],[Befvekst10]]))</f>
        <v>0.1073083403538333</v>
      </c>
      <c r="Q56" s="24">
        <f>IF(Tabell2[[#This Row],[Kvinneandel]]&lt;=G$434,G$434,IF(Tabell2[[#This Row],[Kvinneandel]]&gt;=G$435,G$435,Tabell2[[#This Row],[Kvinneandel]]))</f>
        <v>0.12639087018544937</v>
      </c>
      <c r="R56" s="24">
        <f>IF(Tabell2[[#This Row],[Eldreandel]]&lt;=H$434,H$434,IF(Tabell2[[#This Row],[Eldreandel]]&gt;=H$435,H$435,Tabell2[[#This Row],[Eldreandel]]))</f>
        <v>0.16628625772705657</v>
      </c>
      <c r="S56" s="24">
        <f>IF(Tabell2[[#This Row],[Sysselsettingsvekst10]]&lt;=I$434,I$434,IF(Tabell2[[#This Row],[Sysselsettingsvekst10]]&gt;=I$435,I$435,Tabell2[[#This Row],[Sysselsettingsvekst10]]))</f>
        <v>8.5651456844419993E-2</v>
      </c>
      <c r="T56" s="24">
        <f>IF(Tabell2[[#This Row],[Yrkesaktivandel]]&lt;=J$434,J$434,IF(Tabell2[[#This Row],[Yrkesaktivandel]]&gt;=J$435,J$435,Tabell2[[#This Row],[Yrkesaktivandel]]))</f>
        <v>0.83033144173040541</v>
      </c>
      <c r="U56" s="24">
        <f>IF(Tabell2[[#This Row],[Inntekt]]&lt;=K$434,K$434,IF(Tabell2[[#This Row],[Inntekt]]&gt;=K$435,K$435,Tabell2[[#This Row],[Inntekt]]))</f>
        <v>376500</v>
      </c>
      <c r="V56" s="7">
        <f>IF(Tabell2[[#This Row],[NIBR11-T]]&lt;=L$437,100,IF(Tabell2[[#This Row],[NIBR11-T]]&gt;=L$436,0,100*(L$436-Tabell2[[#This Row],[NIBR11-T]])/L$439))</f>
        <v>60</v>
      </c>
      <c r="W56" s="7">
        <f>(M$436-Tabell2[[#This Row],[ReisetidOslo-T]])*100/M$439</f>
        <v>81.282632541135385</v>
      </c>
      <c r="X56" s="7">
        <f>100-(N$436-Tabell2[[#This Row],[Beftettland-T]])*100/N$439</f>
        <v>11.827425844438523</v>
      </c>
      <c r="Y56" s="7">
        <f>100-(O$436-Tabell2[[#This Row],[Beftettotal-T]])*100/O$439</f>
        <v>12.085794806563825</v>
      </c>
      <c r="Z56" s="7">
        <f>100-(P$436-Tabell2[[#This Row],[Befvekst10-T]])*100/P$439</f>
        <v>72.197715740350461</v>
      </c>
      <c r="AA56" s="7">
        <f>100-(Q$436-Tabell2[[#This Row],[Kvinneandel-T]])*100/Q$439</f>
        <v>96.85696110702969</v>
      </c>
      <c r="AB56" s="7">
        <f>(R$436-Tabell2[[#This Row],[Eldreandel-T]])*100/R$439</f>
        <v>58.325848223312917</v>
      </c>
      <c r="AC56" s="7">
        <f>100-(S$436-Tabell2[[#This Row],[Sysselsettingsvekst10-T]])*100/S$439</f>
        <v>58.162872019664817</v>
      </c>
      <c r="AD56" s="7">
        <f>100-(T$436-Tabell2[[#This Row],[Yrkesaktivandel-T]])*100/T$439</f>
        <v>22.179498696125194</v>
      </c>
      <c r="AE56" s="7">
        <f>100-(U$436-Tabell2[[#This Row],[Inntekt-T]])*100/U$439</f>
        <v>36.214874167701161</v>
      </c>
      <c r="AF56" s="7">
        <v>12</v>
      </c>
      <c r="AG56" s="7">
        <v>8.1282632541135396</v>
      </c>
      <c r="AH56" s="7">
        <v>1.2085794806563825</v>
      </c>
      <c r="AI56" s="7">
        <v>14.439543148070094</v>
      </c>
      <c r="AJ56" s="7">
        <v>4.8428480553514852</v>
      </c>
      <c r="AK56" s="7">
        <v>2.9162924111656459</v>
      </c>
      <c r="AL56" s="7">
        <v>5.8162872019664817</v>
      </c>
      <c r="AM56" s="7">
        <v>2.2179498696125193</v>
      </c>
      <c r="AN56" s="7">
        <v>3.6214874167701163</v>
      </c>
      <c r="AO5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55.191250837706257</v>
      </c>
    </row>
    <row r="57" spans="1:41" x14ac:dyDescent="0.3">
      <c r="A57" s="2" t="s">
        <v>54</v>
      </c>
      <c r="B57">
        <f>'Rådata-K'!N56</f>
        <v>9</v>
      </c>
      <c r="C57" s="7">
        <f>'Rådata-K'!M56</f>
        <v>148.15</v>
      </c>
      <c r="D57" s="24">
        <f>'Rådata-K'!O56</f>
        <v>2.2188443646453933</v>
      </c>
      <c r="E57" s="24">
        <f>'Rådata-K'!P56</f>
        <v>2.1646314155196609</v>
      </c>
      <c r="F57" s="24">
        <f>'Rådata-K'!Q56</f>
        <v>-4.6749452154857596E-2</v>
      </c>
      <c r="G57" s="24">
        <f>'Rådata-K'!R56</f>
        <v>9.3639846743295022E-2</v>
      </c>
      <c r="H57" s="24">
        <f>'Rådata-K'!S56</f>
        <v>0.22084291187739463</v>
      </c>
      <c r="I57" s="24">
        <f>'Rådata-K'!T56</f>
        <v>-1.3415518491660672E-2</v>
      </c>
      <c r="J57" s="24">
        <f>'Rådata-K'!U56</f>
        <v>0.83282421549569563</v>
      </c>
      <c r="K57" s="24">
        <f>'Rådata-K'!L56</f>
        <v>329100</v>
      </c>
      <c r="L57" s="24">
        <f>Tabell2[[#This Row],[NIBR11]]</f>
        <v>9</v>
      </c>
      <c r="M57" s="24">
        <f>IF(Tabell2[[#This Row],[ReisetidOslo]]&lt;=C$434,C$434,IF(Tabell2[[#This Row],[ReisetidOslo]]&gt;=C$435,C$435,Tabell2[[#This Row],[ReisetidOslo]]))</f>
        <v>148.15</v>
      </c>
      <c r="N57" s="24">
        <f>IF(Tabell2[[#This Row],[Beftettland]]&lt;=D$434,D$434,IF(Tabell2[[#This Row],[Beftettland]]&gt;=D$435,D$435,Tabell2[[#This Row],[Beftettland]]))</f>
        <v>2.2188443646453933</v>
      </c>
      <c r="O57" s="24">
        <f>IF(Tabell2[[#This Row],[Beftettotal]]&lt;=E$434,E$434,IF(Tabell2[[#This Row],[Beftettotal]]&gt;=E$435,E$435,Tabell2[[#This Row],[Beftettotal]]))</f>
        <v>2.1646314155196609</v>
      </c>
      <c r="P57" s="24">
        <f>IF(Tabell2[[#This Row],[Befvekst10]]&lt;=F$434,F$434,IF(Tabell2[[#This Row],[Befvekst10]]&gt;=F$435,F$435,Tabell2[[#This Row],[Befvekst10]]))</f>
        <v>-4.6749452154857596E-2</v>
      </c>
      <c r="Q57" s="24">
        <f>IF(Tabell2[[#This Row],[Kvinneandel]]&lt;=G$434,G$434,IF(Tabell2[[#This Row],[Kvinneandel]]&gt;=G$435,G$435,Tabell2[[#This Row],[Kvinneandel]]))</f>
        <v>9.3639846743295022E-2</v>
      </c>
      <c r="R57" s="24">
        <f>IF(Tabell2[[#This Row],[Eldreandel]]&lt;=H$434,H$434,IF(Tabell2[[#This Row],[Eldreandel]]&gt;=H$435,H$435,Tabell2[[#This Row],[Eldreandel]]))</f>
        <v>0.22032896051974013</v>
      </c>
      <c r="S57" s="24">
        <f>IF(Tabell2[[#This Row],[Sysselsettingsvekst10]]&lt;=I$434,I$434,IF(Tabell2[[#This Row],[Sysselsettingsvekst10]]&gt;=I$435,I$435,Tabell2[[#This Row],[Sysselsettingsvekst10]]))</f>
        <v>-1.3415518491660672E-2</v>
      </c>
      <c r="T57" s="24">
        <f>IF(Tabell2[[#This Row],[Yrkesaktivandel]]&lt;=J$434,J$434,IF(Tabell2[[#This Row],[Yrkesaktivandel]]&gt;=J$435,J$435,Tabell2[[#This Row],[Yrkesaktivandel]]))</f>
        <v>0.83282421549569563</v>
      </c>
      <c r="U57" s="24">
        <f>IF(Tabell2[[#This Row],[Inntekt]]&lt;=K$434,K$434,IF(Tabell2[[#This Row],[Inntekt]]&gt;=K$435,K$435,Tabell2[[#This Row],[Inntekt]]))</f>
        <v>344410</v>
      </c>
      <c r="V57" s="7">
        <f>IF(Tabell2[[#This Row],[NIBR11-T]]&lt;=L$437,100,IF(Tabell2[[#This Row],[NIBR11-T]]&gt;=L$436,0,100*(L$436-Tabell2[[#This Row],[NIBR11-T]])/L$439))</f>
        <v>20</v>
      </c>
      <c r="W57" s="7">
        <f>(M$436-Tabell2[[#This Row],[ReisetidOslo-T]])*100/M$439</f>
        <v>58.050457038395514</v>
      </c>
      <c r="X57" s="7">
        <f>100-(N$436-Tabell2[[#This Row],[Beftettland-T]])*100/N$439</f>
        <v>0.60382163744201023</v>
      </c>
      <c r="Y57" s="7">
        <f>100-(O$436-Tabell2[[#This Row],[Beftettotal-T]])*100/O$439</f>
        <v>0.64799590169353394</v>
      </c>
      <c r="Z57" s="7">
        <f>100-(P$436-Tabell2[[#This Row],[Befvekst10-T]])*100/P$439</f>
        <v>9.8411216173750091</v>
      </c>
      <c r="AA57" s="7">
        <f>100-(Q$436-Tabell2[[#This Row],[Kvinneandel-T]])*100/Q$439</f>
        <v>10.818277838974154</v>
      </c>
      <c r="AB57" s="7">
        <f>(R$436-Tabell2[[#This Row],[Eldreandel-T]])*100/R$439</f>
        <v>0</v>
      </c>
      <c r="AC57" s="7">
        <f>100-(S$436-Tabell2[[#This Row],[Sysselsettingsvekst10-T]])*100/S$439</f>
        <v>25.832235748405566</v>
      </c>
      <c r="AD57" s="7">
        <f>100-(T$436-Tabell2[[#This Row],[Yrkesaktivandel-T]])*100/T$439</f>
        <v>23.937636633508447</v>
      </c>
      <c r="AE57" s="7">
        <f>100-(U$436-Tabell2[[#This Row],[Inntekt-T]])*100/U$439</f>
        <v>0</v>
      </c>
      <c r="AF57" s="7">
        <v>4</v>
      </c>
      <c r="AG57" s="7">
        <v>5.8050457038395518</v>
      </c>
      <c r="AH57" s="7">
        <v>6.4799590169353397E-2</v>
      </c>
      <c r="AI57" s="7">
        <v>1.9682243234750019</v>
      </c>
      <c r="AJ57" s="7">
        <v>0.54091389194870776</v>
      </c>
      <c r="AK57" s="7">
        <v>0</v>
      </c>
      <c r="AL57" s="7">
        <v>2.5832235748405568</v>
      </c>
      <c r="AM57" s="7">
        <v>2.3937636633508448</v>
      </c>
      <c r="AN57" s="7">
        <v>0</v>
      </c>
      <c r="AO5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17.355970747624021</v>
      </c>
    </row>
    <row r="58" spans="1:41" x14ac:dyDescent="0.3">
      <c r="A58" s="2" t="s">
        <v>55</v>
      </c>
      <c r="B58">
        <f>'Rådata-K'!N57</f>
        <v>5</v>
      </c>
      <c r="C58" s="7">
        <f>'Rådata-K'!M57</f>
        <v>118.916666667</v>
      </c>
      <c r="D58" s="24">
        <f>'Rådata-K'!O57</f>
        <v>3.4246522381250628</v>
      </c>
      <c r="E58" s="24">
        <f>'Rådata-K'!P57</f>
        <v>3.3054212191772643</v>
      </c>
      <c r="F58" s="24">
        <f>'Rådata-K'!Q57</f>
        <v>1.8629254829806818E-2</v>
      </c>
      <c r="G58" s="24">
        <f>'Rådata-K'!R57</f>
        <v>0.11176337773763829</v>
      </c>
      <c r="H58" s="24">
        <f>'Rådata-K'!S57</f>
        <v>0.17995032738767217</v>
      </c>
      <c r="I58" s="24">
        <f>'Rådata-K'!T57</f>
        <v>6.4898419864559909E-2</v>
      </c>
      <c r="J58" s="24">
        <f>'Rådata-K'!U57</f>
        <v>0.82274509803921569</v>
      </c>
      <c r="K58" s="24">
        <f>'Rådata-K'!L57</f>
        <v>359500</v>
      </c>
      <c r="L58" s="24">
        <f>Tabell2[[#This Row],[NIBR11]]</f>
        <v>5</v>
      </c>
      <c r="M58" s="24">
        <f>IF(Tabell2[[#This Row],[ReisetidOslo]]&lt;=C$434,C$434,IF(Tabell2[[#This Row],[ReisetidOslo]]&gt;=C$435,C$435,Tabell2[[#This Row],[ReisetidOslo]]))</f>
        <v>118.916666667</v>
      </c>
      <c r="N58" s="24">
        <f>IF(Tabell2[[#This Row],[Beftettland]]&lt;=D$434,D$434,IF(Tabell2[[#This Row],[Beftettland]]&gt;=D$435,D$435,Tabell2[[#This Row],[Beftettland]]))</f>
        <v>3.4246522381250628</v>
      </c>
      <c r="O58" s="24">
        <f>IF(Tabell2[[#This Row],[Beftettotal]]&lt;=E$434,E$434,IF(Tabell2[[#This Row],[Beftettotal]]&gt;=E$435,E$435,Tabell2[[#This Row],[Beftettotal]]))</f>
        <v>3.3054212191772643</v>
      </c>
      <c r="P58" s="24">
        <f>IF(Tabell2[[#This Row],[Befvekst10]]&lt;=F$434,F$434,IF(Tabell2[[#This Row],[Befvekst10]]&gt;=F$435,F$435,Tabell2[[#This Row],[Befvekst10]]))</f>
        <v>1.8629254829806818E-2</v>
      </c>
      <c r="Q58" s="24">
        <f>IF(Tabell2[[#This Row],[Kvinneandel]]&lt;=G$434,G$434,IF(Tabell2[[#This Row],[Kvinneandel]]&gt;=G$435,G$435,Tabell2[[#This Row],[Kvinneandel]]))</f>
        <v>0.11176337773763829</v>
      </c>
      <c r="R58" s="24">
        <f>IF(Tabell2[[#This Row],[Eldreandel]]&lt;=H$434,H$434,IF(Tabell2[[#This Row],[Eldreandel]]&gt;=H$435,H$435,Tabell2[[#This Row],[Eldreandel]]))</f>
        <v>0.17995032738767217</v>
      </c>
      <c r="S58" s="24">
        <f>IF(Tabell2[[#This Row],[Sysselsettingsvekst10]]&lt;=I$434,I$434,IF(Tabell2[[#This Row],[Sysselsettingsvekst10]]&gt;=I$435,I$435,Tabell2[[#This Row],[Sysselsettingsvekst10]]))</f>
        <v>6.4898419864559909E-2</v>
      </c>
      <c r="T58" s="24">
        <f>IF(Tabell2[[#This Row],[Yrkesaktivandel]]&lt;=J$434,J$434,IF(Tabell2[[#This Row],[Yrkesaktivandel]]&gt;=J$435,J$435,Tabell2[[#This Row],[Yrkesaktivandel]]))</f>
        <v>0.82274509803921569</v>
      </c>
      <c r="U58" s="24">
        <f>IF(Tabell2[[#This Row],[Inntekt]]&lt;=K$434,K$434,IF(Tabell2[[#This Row],[Inntekt]]&gt;=K$435,K$435,Tabell2[[#This Row],[Inntekt]]))</f>
        <v>359500</v>
      </c>
      <c r="V58" s="7">
        <f>IF(Tabell2[[#This Row],[NIBR11-T]]&lt;=L$437,100,IF(Tabell2[[#This Row],[NIBR11-T]]&gt;=L$436,0,100*(L$436-Tabell2[[#This Row],[NIBR11-T]])/L$439))</f>
        <v>60</v>
      </c>
      <c r="W58" s="7">
        <f>(M$436-Tabell2[[#This Row],[ReisetidOslo-T]])*100/M$439</f>
        <v>70.876782449582493</v>
      </c>
      <c r="X58" s="7">
        <f>100-(N$436-Tabell2[[#This Row],[Beftettland-T]])*100/N$439</f>
        <v>1.4957622358980984</v>
      </c>
      <c r="Y58" s="7">
        <f>100-(O$436-Tabell2[[#This Row],[Beftettotal-T]])*100/O$439</f>
        <v>1.521200412500491</v>
      </c>
      <c r="Z58" s="7">
        <f>100-(P$436-Tabell2[[#This Row],[Befvekst10-T]])*100/P$439</f>
        <v>36.303875817216429</v>
      </c>
      <c r="AA58" s="7">
        <f>100-(Q$436-Tabell2[[#This Row],[Kvinneandel-T]])*100/Q$439</f>
        <v>58.429759222913376</v>
      </c>
      <c r="AB58" s="7">
        <f>(R$436-Tabell2[[#This Row],[Eldreandel-T]])*100/R$439</f>
        <v>43.578834992032867</v>
      </c>
      <c r="AC58" s="7">
        <f>100-(S$436-Tabell2[[#This Row],[Sysselsettingsvekst10-T]])*100/S$439</f>
        <v>51.390091404897397</v>
      </c>
      <c r="AD58" s="7">
        <f>100-(T$436-Tabell2[[#This Row],[Yrkesaktivandel-T]])*100/T$439</f>
        <v>16.828897355872471</v>
      </c>
      <c r="AE58" s="7">
        <f>100-(U$436-Tabell2[[#This Row],[Inntekt-T]])*100/U$439</f>
        <v>17.029680622954515</v>
      </c>
      <c r="AF58" s="7">
        <v>12</v>
      </c>
      <c r="AG58" s="7">
        <v>7.0876782449582496</v>
      </c>
      <c r="AH58" s="7">
        <v>0.1521200412500491</v>
      </c>
      <c r="AI58" s="7">
        <v>7.2607751634432862</v>
      </c>
      <c r="AJ58" s="7">
        <v>2.9214879611456688</v>
      </c>
      <c r="AK58" s="7">
        <v>2.1789417496016434</v>
      </c>
      <c r="AL58" s="7">
        <v>5.1390091404897404</v>
      </c>
      <c r="AM58" s="7">
        <v>1.6828897355872472</v>
      </c>
      <c r="AN58" s="7">
        <v>1.7029680622954517</v>
      </c>
      <c r="AO5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40.125870098771337</v>
      </c>
    </row>
    <row r="59" spans="1:41" x14ac:dyDescent="0.3">
      <c r="A59" s="2" t="s">
        <v>56</v>
      </c>
      <c r="B59">
        <f>'Rådata-K'!N58</f>
        <v>11</v>
      </c>
      <c r="C59" s="7">
        <f>'Rådata-K'!M58</f>
        <v>162.44999999999999</v>
      </c>
      <c r="D59" s="24">
        <f>'Rådata-K'!O58</f>
        <v>1.2228733761652573</v>
      </c>
      <c r="E59" s="24">
        <f>'Rådata-K'!P58</f>
        <v>1.2004857349973912</v>
      </c>
      <c r="F59" s="24">
        <f>'Rådata-K'!Q58</f>
        <v>-7.0432606363961425E-2</v>
      </c>
      <c r="G59" s="24">
        <f>'Rådata-K'!R58</f>
        <v>9.4615384615384615E-2</v>
      </c>
      <c r="H59" s="24">
        <f>'Rådata-K'!S58</f>
        <v>0.22346153846153846</v>
      </c>
      <c r="I59" s="24">
        <f>'Rådata-K'!T58</f>
        <v>-2.0715630885122405E-2</v>
      </c>
      <c r="J59" s="24">
        <f>'Rådata-K'!U58</f>
        <v>0.74141414141414141</v>
      </c>
      <c r="K59" s="24">
        <f>'Rådata-K'!L58</f>
        <v>311700</v>
      </c>
      <c r="L59" s="24">
        <f>Tabell2[[#This Row],[NIBR11]]</f>
        <v>11</v>
      </c>
      <c r="M59" s="24">
        <f>IF(Tabell2[[#This Row],[ReisetidOslo]]&lt;=C$434,C$434,IF(Tabell2[[#This Row],[ReisetidOslo]]&gt;=C$435,C$435,Tabell2[[#This Row],[ReisetidOslo]]))</f>
        <v>162.44999999999999</v>
      </c>
      <c r="N59" s="24">
        <f>IF(Tabell2[[#This Row],[Beftettland]]&lt;=D$434,D$434,IF(Tabell2[[#This Row],[Beftettland]]&gt;=D$435,D$435,Tabell2[[#This Row],[Beftettland]]))</f>
        <v>1.4025423756281519</v>
      </c>
      <c r="O59" s="24">
        <f>IF(Tabell2[[#This Row],[Beftettotal]]&lt;=E$434,E$434,IF(Tabell2[[#This Row],[Beftettotal]]&gt;=E$435,E$435,Tabell2[[#This Row],[Beftettotal]]))</f>
        <v>1.3180632767674032</v>
      </c>
      <c r="P59" s="24">
        <f>IF(Tabell2[[#This Row],[Befvekst10]]&lt;=F$434,F$434,IF(Tabell2[[#This Row],[Befvekst10]]&gt;=F$435,F$435,Tabell2[[#This Row],[Befvekst10]]))</f>
        <v>-7.0432606363961425E-2</v>
      </c>
      <c r="Q59" s="24">
        <f>IF(Tabell2[[#This Row],[Kvinneandel]]&lt;=G$434,G$434,IF(Tabell2[[#This Row],[Kvinneandel]]&gt;=G$435,G$435,Tabell2[[#This Row],[Kvinneandel]]))</f>
        <v>9.4615384615384615E-2</v>
      </c>
      <c r="R59" s="24">
        <f>IF(Tabell2[[#This Row],[Eldreandel]]&lt;=H$434,H$434,IF(Tabell2[[#This Row],[Eldreandel]]&gt;=H$435,H$435,Tabell2[[#This Row],[Eldreandel]]))</f>
        <v>0.22032896051974013</v>
      </c>
      <c r="S59" s="24">
        <f>IF(Tabell2[[#This Row],[Sysselsettingsvekst10]]&lt;=I$434,I$434,IF(Tabell2[[#This Row],[Sysselsettingsvekst10]]&gt;=I$435,I$435,Tabell2[[#This Row],[Sysselsettingsvekst10]]))</f>
        <v>-2.0715630885122405E-2</v>
      </c>
      <c r="T59" s="24">
        <f>IF(Tabell2[[#This Row],[Yrkesaktivandel]]&lt;=J$434,J$434,IF(Tabell2[[#This Row],[Yrkesaktivandel]]&gt;=J$435,J$435,Tabell2[[#This Row],[Yrkesaktivandel]]))</f>
        <v>0.79888426611272945</v>
      </c>
      <c r="U59" s="24">
        <f>IF(Tabell2[[#This Row],[Inntekt]]&lt;=K$434,K$434,IF(Tabell2[[#This Row],[Inntekt]]&gt;=K$435,K$435,Tabell2[[#This Row],[Inntekt]]))</f>
        <v>344410</v>
      </c>
      <c r="V59" s="7">
        <f>IF(Tabell2[[#This Row],[NIBR11-T]]&lt;=L$437,100,IF(Tabell2[[#This Row],[NIBR11-T]]&gt;=L$436,0,100*(L$436-Tabell2[[#This Row],[NIBR11-T]])/L$439))</f>
        <v>0</v>
      </c>
      <c r="W59" s="7">
        <f>(M$436-Tabell2[[#This Row],[ReisetidOslo-T]])*100/M$439</f>
        <v>51.776234003661244</v>
      </c>
      <c r="X59" s="7">
        <f>100-(N$436-Tabell2[[#This Row],[Beftettland-T]])*100/N$439</f>
        <v>0</v>
      </c>
      <c r="Y59" s="7">
        <f>100-(O$436-Tabell2[[#This Row],[Beftettotal-T]])*100/O$439</f>
        <v>0</v>
      </c>
      <c r="Z59" s="7">
        <f>100-(P$436-Tabell2[[#This Row],[Befvekst10-T]])*100/P$439</f>
        <v>0.25510321142120063</v>
      </c>
      <c r="AA59" s="7">
        <f>100-(Q$436-Tabell2[[#This Row],[Kvinneandel-T]])*100/Q$439</f>
        <v>13.381067797002657</v>
      </c>
      <c r="AB59" s="7">
        <f>(R$436-Tabell2[[#This Row],[Eldreandel-T]])*100/R$439</f>
        <v>0</v>
      </c>
      <c r="AC59" s="7">
        <f>100-(S$436-Tabell2[[#This Row],[Sysselsettingsvekst10-T]])*100/S$439</f>
        <v>23.449834572517801</v>
      </c>
      <c r="AD59" s="7">
        <f>100-(T$436-Tabell2[[#This Row],[Yrkesaktivandel-T]])*100/T$439</f>
        <v>0</v>
      </c>
      <c r="AE59" s="7">
        <f>100-(U$436-Tabell2[[#This Row],[Inntekt-T]])*100/U$439</f>
        <v>0</v>
      </c>
      <c r="AF59" s="7">
        <v>0</v>
      </c>
      <c r="AG59" s="7">
        <v>5.1776234003661248</v>
      </c>
      <c r="AH59" s="7">
        <v>0</v>
      </c>
      <c r="AI59" s="7">
        <v>5.1020642284240129E-2</v>
      </c>
      <c r="AJ59" s="7">
        <v>0.66905338985013296</v>
      </c>
      <c r="AK59" s="7">
        <v>0</v>
      </c>
      <c r="AL59" s="7">
        <v>2.34498345725178</v>
      </c>
      <c r="AM59" s="7">
        <v>0</v>
      </c>
      <c r="AN59" s="7">
        <v>0</v>
      </c>
      <c r="AO5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8.242680889752279</v>
      </c>
    </row>
    <row r="60" spans="1:41" x14ac:dyDescent="0.3">
      <c r="A60" s="2" t="s">
        <v>57</v>
      </c>
      <c r="B60">
        <f>'Rådata-K'!N59</f>
        <v>8</v>
      </c>
      <c r="C60" s="7">
        <f>'Rådata-K'!M59</f>
        <v>193.58333333300001</v>
      </c>
      <c r="D60" s="24">
        <f>'Rådata-K'!O59</f>
        <v>0.61457533530459219</v>
      </c>
      <c r="E60" s="24">
        <f>'Rådata-K'!P59</f>
        <v>0.59159873188405798</v>
      </c>
      <c r="F60" s="24">
        <f>'Rådata-K'!Q59</f>
        <v>-9.6541786743515878E-2</v>
      </c>
      <c r="G60" s="24">
        <f>'Rådata-K'!R59</f>
        <v>8.4529505582137163E-2</v>
      </c>
      <c r="H60" s="24">
        <f>'Rådata-K'!S59</f>
        <v>0.25199362041467305</v>
      </c>
      <c r="I60" s="24">
        <f>'Rådata-K'!T59</f>
        <v>-0.18337730870712399</v>
      </c>
      <c r="J60" s="24">
        <f>'Rådata-K'!U59</f>
        <v>0.85971943887775548</v>
      </c>
      <c r="K60" s="24">
        <f>'Rådata-K'!L59</f>
        <v>335600</v>
      </c>
      <c r="L60" s="24">
        <f>Tabell2[[#This Row],[NIBR11]]</f>
        <v>8</v>
      </c>
      <c r="M60" s="24">
        <f>IF(Tabell2[[#This Row],[ReisetidOslo]]&lt;=C$434,C$434,IF(Tabell2[[#This Row],[ReisetidOslo]]&gt;=C$435,C$435,Tabell2[[#This Row],[ReisetidOslo]]))</f>
        <v>193.58333333300001</v>
      </c>
      <c r="N60" s="24">
        <f>IF(Tabell2[[#This Row],[Beftettland]]&lt;=D$434,D$434,IF(Tabell2[[#This Row],[Beftettland]]&gt;=D$435,D$435,Tabell2[[#This Row],[Beftettland]]))</f>
        <v>1.4025423756281519</v>
      </c>
      <c r="O60" s="24">
        <f>IF(Tabell2[[#This Row],[Beftettotal]]&lt;=E$434,E$434,IF(Tabell2[[#This Row],[Beftettotal]]&gt;=E$435,E$435,Tabell2[[#This Row],[Beftettotal]]))</f>
        <v>1.3180632767674032</v>
      </c>
      <c r="P60" s="24">
        <f>IF(Tabell2[[#This Row],[Befvekst10]]&lt;=F$434,F$434,IF(Tabell2[[#This Row],[Befvekst10]]&gt;=F$435,F$435,Tabell2[[#This Row],[Befvekst10]]))</f>
        <v>-7.1062862685144085E-2</v>
      </c>
      <c r="Q60" s="24">
        <f>IF(Tabell2[[#This Row],[Kvinneandel]]&lt;=G$434,G$434,IF(Tabell2[[#This Row],[Kvinneandel]]&gt;=G$435,G$435,Tabell2[[#This Row],[Kvinneandel]]))</f>
        <v>8.9521819157910881E-2</v>
      </c>
      <c r="R60" s="24">
        <f>IF(Tabell2[[#This Row],[Eldreandel]]&lt;=H$434,H$434,IF(Tabell2[[#This Row],[Eldreandel]]&gt;=H$435,H$435,Tabell2[[#This Row],[Eldreandel]]))</f>
        <v>0.22032896051974013</v>
      </c>
      <c r="S60" s="24">
        <f>IF(Tabell2[[#This Row],[Sysselsettingsvekst10]]&lt;=I$434,I$434,IF(Tabell2[[#This Row],[Sysselsettingsvekst10]]&gt;=I$435,I$435,Tabell2[[#This Row],[Sysselsettingsvekst10]]))</f>
        <v>-9.2570207570207563E-2</v>
      </c>
      <c r="T60" s="24">
        <f>IF(Tabell2[[#This Row],[Yrkesaktivandel]]&lt;=J$434,J$434,IF(Tabell2[[#This Row],[Yrkesaktivandel]]&gt;=J$435,J$435,Tabell2[[#This Row],[Yrkesaktivandel]]))</f>
        <v>0.85971943887775548</v>
      </c>
      <c r="U60" s="24">
        <f>IF(Tabell2[[#This Row],[Inntekt]]&lt;=K$434,K$434,IF(Tabell2[[#This Row],[Inntekt]]&gt;=K$435,K$435,Tabell2[[#This Row],[Inntekt]]))</f>
        <v>344410</v>
      </c>
      <c r="V60" s="7">
        <f>IF(Tabell2[[#This Row],[NIBR11-T]]&lt;=L$437,100,IF(Tabell2[[#This Row],[NIBR11-T]]&gt;=L$436,0,100*(L$436-Tabell2[[#This Row],[NIBR11-T]])/L$439))</f>
        <v>30</v>
      </c>
      <c r="W60" s="7">
        <f>(M$436-Tabell2[[#This Row],[ReisetidOslo-T]])*100/M$439</f>
        <v>38.116270566880189</v>
      </c>
      <c r="X60" s="7">
        <f>100-(N$436-Tabell2[[#This Row],[Beftettland-T]])*100/N$439</f>
        <v>0</v>
      </c>
      <c r="Y60" s="7">
        <f>100-(O$436-Tabell2[[#This Row],[Beftettotal-T]])*100/O$439</f>
        <v>0</v>
      </c>
      <c r="Z60" s="7">
        <f>100-(P$436-Tabell2[[#This Row],[Befvekst10-T]])*100/P$439</f>
        <v>0</v>
      </c>
      <c r="AA60" s="7">
        <f>100-(Q$436-Tabell2[[#This Row],[Kvinneandel-T]])*100/Q$439</f>
        <v>0</v>
      </c>
      <c r="AB60" s="7">
        <f>(R$436-Tabell2[[#This Row],[Eldreandel-T]])*100/R$439</f>
        <v>0</v>
      </c>
      <c r="AC60" s="7">
        <f>100-(S$436-Tabell2[[#This Row],[Sysselsettingsvekst10-T]])*100/S$439</f>
        <v>0</v>
      </c>
      <c r="AD60" s="7">
        <f>100-(T$436-Tabell2[[#This Row],[Yrkesaktivandel-T]])*100/T$439</f>
        <v>42.906671537841696</v>
      </c>
      <c r="AE60" s="7">
        <f>100-(U$436-Tabell2[[#This Row],[Inntekt-T]])*100/U$439</f>
        <v>0</v>
      </c>
      <c r="AF60" s="7">
        <v>6</v>
      </c>
      <c r="AG60" s="7">
        <v>3.8116270566880193</v>
      </c>
      <c r="AH60" s="7">
        <v>0</v>
      </c>
      <c r="AI60" s="7">
        <v>0</v>
      </c>
      <c r="AJ60" s="7">
        <v>0</v>
      </c>
      <c r="AK60" s="7">
        <v>0</v>
      </c>
      <c r="AL60" s="7">
        <v>0</v>
      </c>
      <c r="AM60" s="7">
        <v>4.2906671537841694</v>
      </c>
      <c r="AN60" s="7">
        <v>0</v>
      </c>
      <c r="AO6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14.102294210472188</v>
      </c>
    </row>
    <row r="61" spans="1:41" x14ac:dyDescent="0.3">
      <c r="A61" s="2" t="s">
        <v>58</v>
      </c>
      <c r="B61">
        <f>'Rådata-K'!N60</f>
        <v>9</v>
      </c>
      <c r="C61" s="7">
        <f>'Rådata-K'!M60</f>
        <v>188.65</v>
      </c>
      <c r="D61" s="24">
        <f>'Rådata-K'!O60</f>
        <v>0.68082575556007696</v>
      </c>
      <c r="E61" s="24">
        <f>'Rådata-K'!P60</f>
        <v>0.59411620093419648</v>
      </c>
      <c r="F61" s="24">
        <f>'Rådata-K'!Q60</f>
        <v>-0.12825651302605212</v>
      </c>
      <c r="G61" s="24">
        <f>'Rådata-K'!R60</f>
        <v>7.8927203065134094E-2</v>
      </c>
      <c r="H61" s="24">
        <f>'Rådata-K'!S60</f>
        <v>0.24904214559386972</v>
      </c>
      <c r="I61" s="24">
        <f>'Rådata-K'!T60</f>
        <v>-0.14333333333333331</v>
      </c>
      <c r="J61" s="24">
        <f>'Rådata-K'!U60</f>
        <v>0.93333333333333335</v>
      </c>
      <c r="K61" s="24">
        <f>'Rådata-K'!L60</f>
        <v>312200</v>
      </c>
      <c r="L61" s="24">
        <f>Tabell2[[#This Row],[NIBR11]]</f>
        <v>9</v>
      </c>
      <c r="M61" s="24">
        <f>IF(Tabell2[[#This Row],[ReisetidOslo]]&lt;=C$434,C$434,IF(Tabell2[[#This Row],[ReisetidOslo]]&gt;=C$435,C$435,Tabell2[[#This Row],[ReisetidOslo]]))</f>
        <v>188.65</v>
      </c>
      <c r="N61" s="24">
        <f>IF(Tabell2[[#This Row],[Beftettland]]&lt;=D$434,D$434,IF(Tabell2[[#This Row],[Beftettland]]&gt;=D$435,D$435,Tabell2[[#This Row],[Beftettland]]))</f>
        <v>1.4025423756281519</v>
      </c>
      <c r="O61" s="24">
        <f>IF(Tabell2[[#This Row],[Beftettotal]]&lt;=E$434,E$434,IF(Tabell2[[#This Row],[Beftettotal]]&gt;=E$435,E$435,Tabell2[[#This Row],[Beftettotal]]))</f>
        <v>1.3180632767674032</v>
      </c>
      <c r="P61" s="24">
        <f>IF(Tabell2[[#This Row],[Befvekst10]]&lt;=F$434,F$434,IF(Tabell2[[#This Row],[Befvekst10]]&gt;=F$435,F$435,Tabell2[[#This Row],[Befvekst10]]))</f>
        <v>-7.1062862685144085E-2</v>
      </c>
      <c r="Q61" s="24">
        <f>IF(Tabell2[[#This Row],[Kvinneandel]]&lt;=G$434,G$434,IF(Tabell2[[#This Row],[Kvinneandel]]&gt;=G$435,G$435,Tabell2[[#This Row],[Kvinneandel]]))</f>
        <v>8.9521819157910881E-2</v>
      </c>
      <c r="R61" s="24">
        <f>IF(Tabell2[[#This Row],[Eldreandel]]&lt;=H$434,H$434,IF(Tabell2[[#This Row],[Eldreandel]]&gt;=H$435,H$435,Tabell2[[#This Row],[Eldreandel]]))</f>
        <v>0.22032896051974013</v>
      </c>
      <c r="S61" s="24">
        <f>IF(Tabell2[[#This Row],[Sysselsettingsvekst10]]&lt;=I$434,I$434,IF(Tabell2[[#This Row],[Sysselsettingsvekst10]]&gt;=I$435,I$435,Tabell2[[#This Row],[Sysselsettingsvekst10]]))</f>
        <v>-9.2570207570207563E-2</v>
      </c>
      <c r="T61" s="24">
        <f>IF(Tabell2[[#This Row],[Yrkesaktivandel]]&lt;=J$434,J$434,IF(Tabell2[[#This Row],[Yrkesaktivandel]]&gt;=J$435,J$435,Tabell2[[#This Row],[Yrkesaktivandel]]))</f>
        <v>0.93333333333333335</v>
      </c>
      <c r="U61" s="24">
        <f>IF(Tabell2[[#This Row],[Inntekt]]&lt;=K$434,K$434,IF(Tabell2[[#This Row],[Inntekt]]&gt;=K$435,K$435,Tabell2[[#This Row],[Inntekt]]))</f>
        <v>344410</v>
      </c>
      <c r="V61" s="7">
        <f>IF(Tabell2[[#This Row],[NIBR11-T]]&lt;=L$437,100,IF(Tabell2[[#This Row],[NIBR11-T]]&gt;=L$436,0,100*(L$436-Tabell2[[#This Row],[NIBR11-T]])/L$439))</f>
        <v>20</v>
      </c>
      <c r="W61" s="7">
        <f>(M$436-Tabell2[[#This Row],[ReisetidOslo-T]])*100/M$439</f>
        <v>40.280804387574662</v>
      </c>
      <c r="X61" s="7">
        <f>100-(N$436-Tabell2[[#This Row],[Beftettland-T]])*100/N$439</f>
        <v>0</v>
      </c>
      <c r="Y61" s="7">
        <f>100-(O$436-Tabell2[[#This Row],[Beftettotal-T]])*100/O$439</f>
        <v>0</v>
      </c>
      <c r="Z61" s="7">
        <f>100-(P$436-Tabell2[[#This Row],[Befvekst10-T]])*100/P$439</f>
        <v>0</v>
      </c>
      <c r="AA61" s="7">
        <f>100-(Q$436-Tabell2[[#This Row],[Kvinneandel-T]])*100/Q$439</f>
        <v>0</v>
      </c>
      <c r="AB61" s="7">
        <f>(R$436-Tabell2[[#This Row],[Eldreandel-T]])*100/R$439</f>
        <v>0</v>
      </c>
      <c r="AC61" s="7">
        <f>100-(S$436-Tabell2[[#This Row],[Sysselsettingsvekst10-T]])*100/S$439</f>
        <v>0</v>
      </c>
      <c r="AD61" s="7">
        <f>100-(T$436-Tabell2[[#This Row],[Yrkesaktivandel-T]])*100/T$439</f>
        <v>94.826096542625322</v>
      </c>
      <c r="AE61" s="7">
        <f>100-(U$436-Tabell2[[#This Row],[Inntekt-T]])*100/U$439</f>
        <v>0</v>
      </c>
      <c r="AF61" s="7">
        <v>4</v>
      </c>
      <c r="AG61" s="7">
        <v>4.028080438757466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9.4826096542625322</v>
      </c>
      <c r="AN61" s="7">
        <v>0</v>
      </c>
      <c r="AO6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17.510690093019999</v>
      </c>
    </row>
    <row r="62" spans="1:41" x14ac:dyDescent="0.3">
      <c r="A62" s="2" t="s">
        <v>59</v>
      </c>
      <c r="B62">
        <f>'Rådata-K'!N61</f>
        <v>8</v>
      </c>
      <c r="C62" s="7">
        <f>'Rådata-K'!M61</f>
        <v>179.63333333330002</v>
      </c>
      <c r="D62" s="24">
        <f>'Rådata-K'!O61</f>
        <v>1.476512513899269</v>
      </c>
      <c r="E62" s="24">
        <f>'Rådata-K'!P61</f>
        <v>1.443078567610903</v>
      </c>
      <c r="F62" s="24">
        <f>'Rådata-K'!Q61</f>
        <v>-7.6923076923076872E-2</v>
      </c>
      <c r="G62" s="24">
        <f>'Rådata-K'!R61</f>
        <v>9.5679012345679007E-2</v>
      </c>
      <c r="H62" s="24">
        <f>'Rådata-K'!S61</f>
        <v>0.1728395061728395</v>
      </c>
      <c r="I62" s="24">
        <f>'Rådata-K'!T61</f>
        <v>1.9292604501607746E-2</v>
      </c>
      <c r="J62" s="24">
        <f>'Rådata-K'!U61</f>
        <v>0.92119866814650386</v>
      </c>
      <c r="K62" s="24">
        <f>'Rådata-K'!L61</f>
        <v>337500</v>
      </c>
      <c r="L62" s="24">
        <f>Tabell2[[#This Row],[NIBR11]]</f>
        <v>8</v>
      </c>
      <c r="M62" s="24">
        <f>IF(Tabell2[[#This Row],[ReisetidOslo]]&lt;=C$434,C$434,IF(Tabell2[[#This Row],[ReisetidOslo]]&gt;=C$435,C$435,Tabell2[[#This Row],[ReisetidOslo]]))</f>
        <v>179.63333333330002</v>
      </c>
      <c r="N62" s="24">
        <f>IF(Tabell2[[#This Row],[Beftettland]]&lt;=D$434,D$434,IF(Tabell2[[#This Row],[Beftettland]]&gt;=D$435,D$435,Tabell2[[#This Row],[Beftettland]]))</f>
        <v>1.476512513899269</v>
      </c>
      <c r="O62" s="24">
        <f>IF(Tabell2[[#This Row],[Beftettotal]]&lt;=E$434,E$434,IF(Tabell2[[#This Row],[Beftettotal]]&gt;=E$435,E$435,Tabell2[[#This Row],[Beftettotal]]))</f>
        <v>1.443078567610903</v>
      </c>
      <c r="P62" s="24">
        <f>IF(Tabell2[[#This Row],[Befvekst10]]&lt;=F$434,F$434,IF(Tabell2[[#This Row],[Befvekst10]]&gt;=F$435,F$435,Tabell2[[#This Row],[Befvekst10]]))</f>
        <v>-7.1062862685144085E-2</v>
      </c>
      <c r="Q62" s="24">
        <f>IF(Tabell2[[#This Row],[Kvinneandel]]&lt;=G$434,G$434,IF(Tabell2[[#This Row],[Kvinneandel]]&gt;=G$435,G$435,Tabell2[[#This Row],[Kvinneandel]]))</f>
        <v>9.5679012345679007E-2</v>
      </c>
      <c r="R62" s="24">
        <f>IF(Tabell2[[#This Row],[Eldreandel]]&lt;=H$434,H$434,IF(Tabell2[[#This Row],[Eldreandel]]&gt;=H$435,H$435,Tabell2[[#This Row],[Eldreandel]]))</f>
        <v>0.1728395061728395</v>
      </c>
      <c r="S62" s="24">
        <f>IF(Tabell2[[#This Row],[Sysselsettingsvekst10]]&lt;=I$434,I$434,IF(Tabell2[[#This Row],[Sysselsettingsvekst10]]&gt;=I$435,I$435,Tabell2[[#This Row],[Sysselsettingsvekst10]]))</f>
        <v>1.9292604501607746E-2</v>
      </c>
      <c r="T62" s="24">
        <f>IF(Tabell2[[#This Row],[Yrkesaktivandel]]&lt;=J$434,J$434,IF(Tabell2[[#This Row],[Yrkesaktivandel]]&gt;=J$435,J$435,Tabell2[[#This Row],[Yrkesaktivandel]]))</f>
        <v>0.92119866814650386</v>
      </c>
      <c r="U62" s="24">
        <f>IF(Tabell2[[#This Row],[Inntekt]]&lt;=K$434,K$434,IF(Tabell2[[#This Row],[Inntekt]]&gt;=K$435,K$435,Tabell2[[#This Row],[Inntekt]]))</f>
        <v>344410</v>
      </c>
      <c r="V62" s="7">
        <f>IF(Tabell2[[#This Row],[NIBR11-T]]&lt;=L$437,100,IF(Tabell2[[#This Row],[NIBR11-T]]&gt;=L$436,0,100*(L$436-Tabell2[[#This Row],[NIBR11-T]])/L$439))</f>
        <v>30</v>
      </c>
      <c r="W62" s="7">
        <f>(M$436-Tabell2[[#This Row],[ReisetidOslo-T]])*100/M$439</f>
        <v>44.2369287020313</v>
      </c>
      <c r="X62" s="7">
        <f>100-(N$436-Tabell2[[#This Row],[Beftettland-T]])*100/N$439</f>
        <v>5.4715988217125755E-2</v>
      </c>
      <c r="Y62" s="7">
        <f>100-(O$436-Tabell2[[#This Row],[Beftettotal-T]])*100/O$439</f>
        <v>9.5691524884244927E-2</v>
      </c>
      <c r="Z62" s="7">
        <f>100-(P$436-Tabell2[[#This Row],[Befvekst10-T]])*100/P$439</f>
        <v>0</v>
      </c>
      <c r="AA62" s="7">
        <f>100-(Q$436-Tabell2[[#This Row],[Kvinneandel-T]])*100/Q$439</f>
        <v>16.17527450518547</v>
      </c>
      <c r="AB62" s="7">
        <f>(R$436-Tabell2[[#This Row],[Eldreandel-T]])*100/R$439</f>
        <v>51.253223160782881</v>
      </c>
      <c r="AC62" s="7">
        <f>100-(S$436-Tabell2[[#This Row],[Sysselsettingsvekst10-T]])*100/S$439</f>
        <v>36.506574235308328</v>
      </c>
      <c r="AD62" s="7">
        <f>100-(T$436-Tabell2[[#This Row],[Yrkesaktivandel-T]])*100/T$439</f>
        <v>86.26759214905681</v>
      </c>
      <c r="AE62" s="7">
        <f>100-(U$436-Tabell2[[#This Row],[Inntekt-T]])*100/U$439</f>
        <v>0</v>
      </c>
      <c r="AF62" s="7">
        <v>6</v>
      </c>
      <c r="AG62" s="7">
        <v>4.42369287020313</v>
      </c>
      <c r="AH62" s="7">
        <v>9.5691524884244927E-3</v>
      </c>
      <c r="AI62" s="7">
        <v>0</v>
      </c>
      <c r="AJ62" s="7">
        <v>0.80876372525927354</v>
      </c>
      <c r="AK62" s="7">
        <v>2.5626611580391443</v>
      </c>
      <c r="AL62" s="7">
        <v>3.6506574235308329</v>
      </c>
      <c r="AM62" s="7">
        <v>8.6267592149056807</v>
      </c>
      <c r="AN62" s="7">
        <v>0</v>
      </c>
      <c r="AO6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26.082103544426488</v>
      </c>
    </row>
    <row r="63" spans="1:41" x14ac:dyDescent="0.3">
      <c r="A63" s="2" t="s">
        <v>60</v>
      </c>
      <c r="B63">
        <f>'Rådata-K'!N62</f>
        <v>8</v>
      </c>
      <c r="C63" s="7">
        <f>'Rådata-K'!M62</f>
        <v>196.21666666670001</v>
      </c>
      <c r="D63" s="24">
        <f>'Rådata-K'!O62</f>
        <v>3.0621652471683203</v>
      </c>
      <c r="E63" s="24">
        <f>'Rådata-K'!P62</f>
        <v>2.9672801527245269</v>
      </c>
      <c r="F63" s="24">
        <f>'Rådata-K'!Q62</f>
        <v>3.9493293591654322E-2</v>
      </c>
      <c r="G63" s="24">
        <f>'Rådata-K'!R62</f>
        <v>0.10017921146953405</v>
      </c>
      <c r="H63" s="24">
        <f>'Rådata-K'!S62</f>
        <v>0.16541218637992833</v>
      </c>
      <c r="I63" s="24">
        <f>'Rådata-K'!T62</f>
        <v>1.5964240102170901E-3</v>
      </c>
      <c r="J63" s="24">
        <f>'Rådata-K'!U62</f>
        <v>0.92387096774193544</v>
      </c>
      <c r="K63" s="24">
        <f>'Rådata-K'!L62</f>
        <v>360500</v>
      </c>
      <c r="L63" s="24">
        <f>Tabell2[[#This Row],[NIBR11]]</f>
        <v>8</v>
      </c>
      <c r="M63" s="24">
        <f>IF(Tabell2[[#This Row],[ReisetidOslo]]&lt;=C$434,C$434,IF(Tabell2[[#This Row],[ReisetidOslo]]&gt;=C$435,C$435,Tabell2[[#This Row],[ReisetidOslo]]))</f>
        <v>196.21666666670001</v>
      </c>
      <c r="N63" s="24">
        <f>IF(Tabell2[[#This Row],[Beftettland]]&lt;=D$434,D$434,IF(Tabell2[[#This Row],[Beftettland]]&gt;=D$435,D$435,Tabell2[[#This Row],[Beftettland]]))</f>
        <v>3.0621652471683203</v>
      </c>
      <c r="O63" s="24">
        <f>IF(Tabell2[[#This Row],[Beftettotal]]&lt;=E$434,E$434,IF(Tabell2[[#This Row],[Beftettotal]]&gt;=E$435,E$435,Tabell2[[#This Row],[Beftettotal]]))</f>
        <v>2.9672801527245269</v>
      </c>
      <c r="P63" s="24">
        <f>IF(Tabell2[[#This Row],[Befvekst10]]&lt;=F$434,F$434,IF(Tabell2[[#This Row],[Befvekst10]]&gt;=F$435,F$435,Tabell2[[#This Row],[Befvekst10]]))</f>
        <v>3.9493293591654322E-2</v>
      </c>
      <c r="Q63" s="24">
        <f>IF(Tabell2[[#This Row],[Kvinneandel]]&lt;=G$434,G$434,IF(Tabell2[[#This Row],[Kvinneandel]]&gt;=G$435,G$435,Tabell2[[#This Row],[Kvinneandel]]))</f>
        <v>0.10017921146953405</v>
      </c>
      <c r="R63" s="24">
        <f>IF(Tabell2[[#This Row],[Eldreandel]]&lt;=H$434,H$434,IF(Tabell2[[#This Row],[Eldreandel]]&gt;=H$435,H$435,Tabell2[[#This Row],[Eldreandel]]))</f>
        <v>0.16541218637992833</v>
      </c>
      <c r="S63" s="24">
        <f>IF(Tabell2[[#This Row],[Sysselsettingsvekst10]]&lt;=I$434,I$434,IF(Tabell2[[#This Row],[Sysselsettingsvekst10]]&gt;=I$435,I$435,Tabell2[[#This Row],[Sysselsettingsvekst10]]))</f>
        <v>1.5964240102170901E-3</v>
      </c>
      <c r="T63" s="24">
        <f>IF(Tabell2[[#This Row],[Yrkesaktivandel]]&lt;=J$434,J$434,IF(Tabell2[[#This Row],[Yrkesaktivandel]]&gt;=J$435,J$435,Tabell2[[#This Row],[Yrkesaktivandel]]))</f>
        <v>0.92387096774193544</v>
      </c>
      <c r="U63" s="24">
        <f>IF(Tabell2[[#This Row],[Inntekt]]&lt;=K$434,K$434,IF(Tabell2[[#This Row],[Inntekt]]&gt;=K$435,K$435,Tabell2[[#This Row],[Inntekt]]))</f>
        <v>360500</v>
      </c>
      <c r="V63" s="7">
        <f>IF(Tabell2[[#This Row],[NIBR11-T]]&lt;=L$437,100,IF(Tabell2[[#This Row],[NIBR11-T]]&gt;=L$436,0,100*(L$436-Tabell2[[#This Row],[NIBR11-T]])/L$439))</f>
        <v>30</v>
      </c>
      <c r="W63" s="7">
        <f>(M$436-Tabell2[[#This Row],[ReisetidOslo-T]])*100/M$439</f>
        <v>36.960877513702975</v>
      </c>
      <c r="X63" s="7">
        <f>100-(N$436-Tabell2[[#This Row],[Beftettland-T]])*100/N$439</f>
        <v>1.2276292515666114</v>
      </c>
      <c r="Y63" s="7">
        <f>100-(O$436-Tabell2[[#This Row],[Beftettotal-T]])*100/O$439</f>
        <v>1.2623741996706315</v>
      </c>
      <c r="Z63" s="7">
        <f>100-(P$436-Tabell2[[#This Row],[Befvekst10-T]])*100/P$439</f>
        <v>44.748826089791301</v>
      </c>
      <c r="AA63" s="7">
        <f>100-(Q$436-Tabell2[[#This Row],[Kvinneandel-T]])*100/Q$439</f>
        <v>27.997537334449788</v>
      </c>
      <c r="AB63" s="7">
        <f>(R$436-Tabell2[[#This Row],[Eldreandel-T]])*100/R$439</f>
        <v>59.269193949830701</v>
      </c>
      <c r="AC63" s="7">
        <f>100-(S$436-Tabell2[[#This Row],[Sysselsettingsvekst10-T]])*100/S$439</f>
        <v>30.731402712035504</v>
      </c>
      <c r="AD63" s="7">
        <f>100-(T$436-Tabell2[[#This Row],[Yrkesaktivandel-T]])*100/T$439</f>
        <v>88.152348545405985</v>
      </c>
      <c r="AE63" s="7">
        <f>100-(U$436-Tabell2[[#This Row],[Inntekt-T]])*100/U$439</f>
        <v>18.158221419704319</v>
      </c>
      <c r="AF63" s="7">
        <v>6</v>
      </c>
      <c r="AG63" s="7">
        <v>3.6960877513702979</v>
      </c>
      <c r="AH63" s="7">
        <v>0.12623741996706314</v>
      </c>
      <c r="AI63" s="7">
        <v>8.9497652179582605</v>
      </c>
      <c r="AJ63" s="7">
        <v>1.3998768667224895</v>
      </c>
      <c r="AK63" s="7">
        <v>2.963459697491535</v>
      </c>
      <c r="AL63" s="7">
        <v>3.0731402712035507</v>
      </c>
      <c r="AM63" s="7">
        <v>8.8152348545405985</v>
      </c>
      <c r="AN63" s="7">
        <v>1.8158221419704319</v>
      </c>
      <c r="AO6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36.83962422122422</v>
      </c>
    </row>
    <row r="64" spans="1:41" x14ac:dyDescent="0.3">
      <c r="A64" s="2" t="s">
        <v>61</v>
      </c>
      <c r="B64">
        <f>'Rådata-K'!N63</f>
        <v>8</v>
      </c>
      <c r="C64" s="7">
        <f>'Rådata-K'!M63</f>
        <v>214.96666666670001</v>
      </c>
      <c r="D64" s="24">
        <f>'Rådata-K'!O63</f>
        <v>2.6394525257580539</v>
      </c>
      <c r="E64" s="24">
        <f>'Rådata-K'!P63</f>
        <v>2.5749615241734332</v>
      </c>
      <c r="F64" s="24">
        <f>'Rådata-K'!Q63</f>
        <v>1.4214046822742521E-2</v>
      </c>
      <c r="G64" s="24">
        <f>'Rådata-K'!R63</f>
        <v>0.10387469084913438</v>
      </c>
      <c r="H64" s="24">
        <f>'Rådata-K'!S63</f>
        <v>0.17065127782357792</v>
      </c>
      <c r="I64" s="24">
        <f>'Rådata-K'!T63</f>
        <v>0.16405529953917042</v>
      </c>
      <c r="J64" s="24">
        <f>'Rådata-K'!U63</f>
        <v>0.96118721461187218</v>
      </c>
      <c r="K64" s="24">
        <f>'Rådata-K'!L63</f>
        <v>362500</v>
      </c>
      <c r="L64" s="24">
        <f>Tabell2[[#This Row],[NIBR11]]</f>
        <v>8</v>
      </c>
      <c r="M64" s="24">
        <f>IF(Tabell2[[#This Row],[ReisetidOslo]]&lt;=C$434,C$434,IF(Tabell2[[#This Row],[ReisetidOslo]]&gt;=C$435,C$435,Tabell2[[#This Row],[ReisetidOslo]]))</f>
        <v>214.96666666670001</v>
      </c>
      <c r="N64" s="24">
        <f>IF(Tabell2[[#This Row],[Beftettland]]&lt;=D$434,D$434,IF(Tabell2[[#This Row],[Beftettland]]&gt;=D$435,D$435,Tabell2[[#This Row],[Beftettland]]))</f>
        <v>2.6394525257580539</v>
      </c>
      <c r="O64" s="24">
        <f>IF(Tabell2[[#This Row],[Beftettotal]]&lt;=E$434,E$434,IF(Tabell2[[#This Row],[Beftettotal]]&gt;=E$435,E$435,Tabell2[[#This Row],[Beftettotal]]))</f>
        <v>2.5749615241734332</v>
      </c>
      <c r="P64" s="24">
        <f>IF(Tabell2[[#This Row],[Befvekst10]]&lt;=F$434,F$434,IF(Tabell2[[#This Row],[Befvekst10]]&gt;=F$435,F$435,Tabell2[[#This Row],[Befvekst10]]))</f>
        <v>1.4214046822742521E-2</v>
      </c>
      <c r="Q64" s="24">
        <f>IF(Tabell2[[#This Row],[Kvinneandel]]&lt;=G$434,G$434,IF(Tabell2[[#This Row],[Kvinneandel]]&gt;=G$435,G$435,Tabell2[[#This Row],[Kvinneandel]]))</f>
        <v>0.10387469084913438</v>
      </c>
      <c r="R64" s="24">
        <f>IF(Tabell2[[#This Row],[Eldreandel]]&lt;=H$434,H$434,IF(Tabell2[[#This Row],[Eldreandel]]&gt;=H$435,H$435,Tabell2[[#This Row],[Eldreandel]]))</f>
        <v>0.17065127782357792</v>
      </c>
      <c r="S64" s="24">
        <f>IF(Tabell2[[#This Row],[Sysselsettingsvekst10]]&lt;=I$434,I$434,IF(Tabell2[[#This Row],[Sysselsettingsvekst10]]&gt;=I$435,I$435,Tabell2[[#This Row],[Sysselsettingsvekst10]]))</f>
        <v>0.16405529953917042</v>
      </c>
      <c r="T64" s="24">
        <f>IF(Tabell2[[#This Row],[Yrkesaktivandel]]&lt;=J$434,J$434,IF(Tabell2[[#This Row],[Yrkesaktivandel]]&gt;=J$435,J$435,Tabell2[[#This Row],[Yrkesaktivandel]]))</f>
        <v>0.94066914614326791</v>
      </c>
      <c r="U64" s="24">
        <f>IF(Tabell2[[#This Row],[Inntekt]]&lt;=K$434,K$434,IF(Tabell2[[#This Row],[Inntekt]]&gt;=K$435,K$435,Tabell2[[#This Row],[Inntekt]]))</f>
        <v>362500</v>
      </c>
      <c r="V64" s="7">
        <f>IF(Tabell2[[#This Row],[NIBR11-T]]&lt;=L$437,100,IF(Tabell2[[#This Row],[NIBR11-T]]&gt;=L$436,0,100*(L$436-Tabell2[[#This Row],[NIBR11-T]])/L$439))</f>
        <v>30</v>
      </c>
      <c r="W64" s="7">
        <f>(M$436-Tabell2[[#This Row],[ReisetidOslo-T]])*100/M$439</f>
        <v>28.73418647165629</v>
      </c>
      <c r="X64" s="7">
        <f>100-(N$436-Tabell2[[#This Row],[Beftettland-T]])*100/N$439</f>
        <v>0.9149470689385879</v>
      </c>
      <c r="Y64" s="7">
        <f>100-(O$436-Tabell2[[#This Row],[Beftettotal-T]])*100/O$439</f>
        <v>0.96207839142792295</v>
      </c>
      <c r="Z64" s="7">
        <f>100-(P$436-Tabell2[[#This Row],[Befvekst10-T]])*100/P$439</f>
        <v>34.516771580671644</v>
      </c>
      <c r="AA64" s="7">
        <f>100-(Q$436-Tabell2[[#This Row],[Kvinneandel-T]])*100/Q$439</f>
        <v>37.705758527190255</v>
      </c>
      <c r="AB64" s="7">
        <f>(R$436-Tabell2[[#This Row],[Eldreandel-T]])*100/R$439</f>
        <v>53.61487918429065</v>
      </c>
      <c r="AC64" s="7">
        <f>100-(S$436-Tabell2[[#This Row],[Sysselsettingsvekst10-T]])*100/S$439</f>
        <v>83.750068073987066</v>
      </c>
      <c r="AD64" s="7">
        <f>100-(T$436-Tabell2[[#This Row],[Yrkesaktivandel-T]])*100/T$439</f>
        <v>100</v>
      </c>
      <c r="AE64" s="7">
        <f>100-(U$436-Tabell2[[#This Row],[Inntekt-T]])*100/U$439</f>
        <v>20.415303013203925</v>
      </c>
      <c r="AF64" s="7">
        <v>6</v>
      </c>
      <c r="AG64" s="7">
        <v>2.8734186471656291</v>
      </c>
      <c r="AH64" s="7">
        <v>9.6207839142792295E-2</v>
      </c>
      <c r="AI64" s="7">
        <v>6.9033543161343296</v>
      </c>
      <c r="AJ64" s="7">
        <v>1.8852879263595128</v>
      </c>
      <c r="AK64" s="7">
        <v>2.6807439592145328</v>
      </c>
      <c r="AL64" s="7">
        <v>8.375006807398707</v>
      </c>
      <c r="AM64" s="7">
        <v>10</v>
      </c>
      <c r="AN64" s="7">
        <v>2.0415303013203925</v>
      </c>
      <c r="AO6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40.855549796735893</v>
      </c>
    </row>
    <row r="65" spans="1:41" x14ac:dyDescent="0.3">
      <c r="A65" s="2" t="s">
        <v>62</v>
      </c>
      <c r="B65">
        <f>'Rådata-K'!N64</f>
        <v>8</v>
      </c>
      <c r="C65" s="7">
        <f>'Rådata-K'!M64</f>
        <v>233</v>
      </c>
      <c r="D65" s="24">
        <f>'Rådata-K'!O64</f>
        <v>1.2634118468668656</v>
      </c>
      <c r="E65" s="24">
        <f>'Rådata-K'!P64</f>
        <v>1.2467890483052442</v>
      </c>
      <c r="F65" s="24">
        <f>'Rådata-K'!Q64</f>
        <v>-7.5493612078977979E-2</v>
      </c>
      <c r="G65" s="24">
        <f>'Rådata-K'!R64</f>
        <v>7.5376884422110546E-2</v>
      </c>
      <c r="H65" s="24">
        <f>'Rådata-K'!S64</f>
        <v>0.23241206030150754</v>
      </c>
      <c r="I65" s="24">
        <f>'Rådata-K'!T64</f>
        <v>-0.11126760563380278</v>
      </c>
      <c r="J65" s="24">
        <f>'Rådata-K'!U64</f>
        <v>0.96813725490196079</v>
      </c>
      <c r="K65" s="24">
        <f>'Rådata-K'!L64</f>
        <v>342800</v>
      </c>
      <c r="L65" s="24">
        <f>Tabell2[[#This Row],[NIBR11]]</f>
        <v>8</v>
      </c>
      <c r="M65" s="24">
        <f>IF(Tabell2[[#This Row],[ReisetidOslo]]&lt;=C$434,C$434,IF(Tabell2[[#This Row],[ReisetidOslo]]&gt;=C$435,C$435,Tabell2[[#This Row],[ReisetidOslo]]))</f>
        <v>233</v>
      </c>
      <c r="N65" s="24">
        <f>IF(Tabell2[[#This Row],[Beftettland]]&lt;=D$434,D$434,IF(Tabell2[[#This Row],[Beftettland]]&gt;=D$435,D$435,Tabell2[[#This Row],[Beftettland]]))</f>
        <v>1.4025423756281519</v>
      </c>
      <c r="O65" s="24">
        <f>IF(Tabell2[[#This Row],[Beftettotal]]&lt;=E$434,E$434,IF(Tabell2[[#This Row],[Beftettotal]]&gt;=E$435,E$435,Tabell2[[#This Row],[Beftettotal]]))</f>
        <v>1.3180632767674032</v>
      </c>
      <c r="P65" s="24">
        <f>IF(Tabell2[[#This Row],[Befvekst10]]&lt;=F$434,F$434,IF(Tabell2[[#This Row],[Befvekst10]]&gt;=F$435,F$435,Tabell2[[#This Row],[Befvekst10]]))</f>
        <v>-7.1062862685144085E-2</v>
      </c>
      <c r="Q65" s="24">
        <f>IF(Tabell2[[#This Row],[Kvinneandel]]&lt;=G$434,G$434,IF(Tabell2[[#This Row],[Kvinneandel]]&gt;=G$435,G$435,Tabell2[[#This Row],[Kvinneandel]]))</f>
        <v>8.9521819157910881E-2</v>
      </c>
      <c r="R65" s="24">
        <f>IF(Tabell2[[#This Row],[Eldreandel]]&lt;=H$434,H$434,IF(Tabell2[[#This Row],[Eldreandel]]&gt;=H$435,H$435,Tabell2[[#This Row],[Eldreandel]]))</f>
        <v>0.22032896051974013</v>
      </c>
      <c r="S65" s="24">
        <f>IF(Tabell2[[#This Row],[Sysselsettingsvekst10]]&lt;=I$434,I$434,IF(Tabell2[[#This Row],[Sysselsettingsvekst10]]&gt;=I$435,I$435,Tabell2[[#This Row],[Sysselsettingsvekst10]]))</f>
        <v>-9.2570207570207563E-2</v>
      </c>
      <c r="T65" s="24">
        <f>IF(Tabell2[[#This Row],[Yrkesaktivandel]]&lt;=J$434,J$434,IF(Tabell2[[#This Row],[Yrkesaktivandel]]&gt;=J$435,J$435,Tabell2[[#This Row],[Yrkesaktivandel]]))</f>
        <v>0.94066914614326791</v>
      </c>
      <c r="U65" s="24">
        <f>IF(Tabell2[[#This Row],[Inntekt]]&lt;=K$434,K$434,IF(Tabell2[[#This Row],[Inntekt]]&gt;=K$435,K$435,Tabell2[[#This Row],[Inntekt]]))</f>
        <v>344410</v>
      </c>
      <c r="V65" s="7">
        <f>IF(Tabell2[[#This Row],[NIBR11-T]]&lt;=L$437,100,IF(Tabell2[[#This Row],[NIBR11-T]]&gt;=L$436,0,100*(L$436-Tabell2[[#This Row],[NIBR11-T]])/L$439))</f>
        <v>30</v>
      </c>
      <c r="W65" s="7">
        <f>(M$436-Tabell2[[#This Row],[ReisetidOslo-T]])*100/M$439</f>
        <v>20.821937842786905</v>
      </c>
      <c r="X65" s="7">
        <f>100-(N$436-Tabell2[[#This Row],[Beftettland-T]])*100/N$439</f>
        <v>0</v>
      </c>
      <c r="Y65" s="7">
        <f>100-(O$436-Tabell2[[#This Row],[Beftettotal-T]])*100/O$439</f>
        <v>0</v>
      </c>
      <c r="Z65" s="7">
        <f>100-(P$436-Tabell2[[#This Row],[Befvekst10-T]])*100/P$439</f>
        <v>0</v>
      </c>
      <c r="AA65" s="7">
        <f>100-(Q$436-Tabell2[[#This Row],[Kvinneandel-T]])*100/Q$439</f>
        <v>0</v>
      </c>
      <c r="AB65" s="7">
        <f>(R$436-Tabell2[[#This Row],[Eldreandel-T]])*100/R$439</f>
        <v>0</v>
      </c>
      <c r="AC65" s="7">
        <f>100-(S$436-Tabell2[[#This Row],[Sysselsettingsvekst10-T]])*100/S$439</f>
        <v>0</v>
      </c>
      <c r="AD65" s="7">
        <f>100-(T$436-Tabell2[[#This Row],[Yrkesaktivandel-T]])*100/T$439</f>
        <v>100</v>
      </c>
      <c r="AE65" s="7">
        <f>100-(U$436-Tabell2[[#This Row],[Inntekt-T]])*100/U$439</f>
        <v>0</v>
      </c>
      <c r="AF65" s="7">
        <v>6</v>
      </c>
      <c r="AG65" s="7">
        <v>2.0821937842786906</v>
      </c>
      <c r="AH65" s="7">
        <v>0</v>
      </c>
      <c r="AI65" s="7">
        <v>0</v>
      </c>
      <c r="AJ65" s="7">
        <v>0</v>
      </c>
      <c r="AK65" s="7">
        <v>0</v>
      </c>
      <c r="AL65" s="7">
        <v>0</v>
      </c>
      <c r="AM65" s="7">
        <v>10</v>
      </c>
      <c r="AN65" s="7">
        <v>0</v>
      </c>
      <c r="AO6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18.08219378427869</v>
      </c>
    </row>
    <row r="66" spans="1:41" x14ac:dyDescent="0.3">
      <c r="A66" s="2" t="s">
        <v>63</v>
      </c>
      <c r="B66">
        <f>'Rådata-K'!N65</f>
        <v>9</v>
      </c>
      <c r="C66" s="7">
        <f>'Rådata-K'!M65</f>
        <v>164.1</v>
      </c>
      <c r="D66" s="24">
        <f>'Rådata-K'!O65</f>
        <v>1.9399565592549615</v>
      </c>
      <c r="E66" s="24">
        <f>'Rådata-K'!P65</f>
        <v>1.8800280658586517</v>
      </c>
      <c r="F66" s="24">
        <f>'Rådata-K'!Q65</f>
        <v>-5.7349397590361395E-2</v>
      </c>
      <c r="G66" s="24">
        <f>'Rådata-K'!R65</f>
        <v>9.202453987730061E-2</v>
      </c>
      <c r="H66" s="24">
        <f>'Rådata-K'!S65</f>
        <v>0.19427402862985685</v>
      </c>
      <c r="I66" s="24">
        <f>'Rådata-K'!T65</f>
        <v>1.2211668928086894E-2</v>
      </c>
      <c r="J66" s="24">
        <f>'Rådata-K'!U65</f>
        <v>0.94683776351970672</v>
      </c>
      <c r="K66" s="24">
        <f>'Rådata-K'!L65</f>
        <v>343500</v>
      </c>
      <c r="L66" s="24">
        <f>Tabell2[[#This Row],[NIBR11]]</f>
        <v>9</v>
      </c>
      <c r="M66" s="24">
        <f>IF(Tabell2[[#This Row],[ReisetidOslo]]&lt;=C$434,C$434,IF(Tabell2[[#This Row],[ReisetidOslo]]&gt;=C$435,C$435,Tabell2[[#This Row],[ReisetidOslo]]))</f>
        <v>164.1</v>
      </c>
      <c r="N66" s="24">
        <f>IF(Tabell2[[#This Row],[Beftettland]]&lt;=D$434,D$434,IF(Tabell2[[#This Row],[Beftettland]]&gt;=D$435,D$435,Tabell2[[#This Row],[Beftettland]]))</f>
        <v>1.9399565592549615</v>
      </c>
      <c r="O66" s="24">
        <f>IF(Tabell2[[#This Row],[Beftettotal]]&lt;=E$434,E$434,IF(Tabell2[[#This Row],[Beftettotal]]&gt;=E$435,E$435,Tabell2[[#This Row],[Beftettotal]]))</f>
        <v>1.8800280658586517</v>
      </c>
      <c r="P66" s="24">
        <f>IF(Tabell2[[#This Row],[Befvekst10]]&lt;=F$434,F$434,IF(Tabell2[[#This Row],[Befvekst10]]&gt;=F$435,F$435,Tabell2[[#This Row],[Befvekst10]]))</f>
        <v>-5.7349397590361395E-2</v>
      </c>
      <c r="Q66" s="24">
        <f>IF(Tabell2[[#This Row],[Kvinneandel]]&lt;=G$434,G$434,IF(Tabell2[[#This Row],[Kvinneandel]]&gt;=G$435,G$435,Tabell2[[#This Row],[Kvinneandel]]))</f>
        <v>9.202453987730061E-2</v>
      </c>
      <c r="R66" s="24">
        <f>IF(Tabell2[[#This Row],[Eldreandel]]&lt;=H$434,H$434,IF(Tabell2[[#This Row],[Eldreandel]]&gt;=H$435,H$435,Tabell2[[#This Row],[Eldreandel]]))</f>
        <v>0.19427402862985685</v>
      </c>
      <c r="S66" s="24">
        <f>IF(Tabell2[[#This Row],[Sysselsettingsvekst10]]&lt;=I$434,I$434,IF(Tabell2[[#This Row],[Sysselsettingsvekst10]]&gt;=I$435,I$435,Tabell2[[#This Row],[Sysselsettingsvekst10]]))</f>
        <v>1.2211668928086894E-2</v>
      </c>
      <c r="T66" s="24">
        <f>IF(Tabell2[[#This Row],[Yrkesaktivandel]]&lt;=J$434,J$434,IF(Tabell2[[#This Row],[Yrkesaktivandel]]&gt;=J$435,J$435,Tabell2[[#This Row],[Yrkesaktivandel]]))</f>
        <v>0.94066914614326791</v>
      </c>
      <c r="U66" s="24">
        <f>IF(Tabell2[[#This Row],[Inntekt]]&lt;=K$434,K$434,IF(Tabell2[[#This Row],[Inntekt]]&gt;=K$435,K$435,Tabell2[[#This Row],[Inntekt]]))</f>
        <v>344410</v>
      </c>
      <c r="V66" s="7">
        <f>IF(Tabell2[[#This Row],[NIBR11-T]]&lt;=L$437,100,IF(Tabell2[[#This Row],[NIBR11-T]]&gt;=L$436,0,100*(L$436-Tabell2[[#This Row],[NIBR11-T]])/L$439))</f>
        <v>20</v>
      </c>
      <c r="W66" s="7">
        <f>(M$436-Tabell2[[#This Row],[ReisetidOslo-T]])*100/M$439</f>
        <v>51.05228519196114</v>
      </c>
      <c r="X66" s="7">
        <f>100-(N$436-Tabell2[[#This Row],[Beftettland-T]])*100/N$439</f>
        <v>0.39752728366222811</v>
      </c>
      <c r="Y66" s="7">
        <f>100-(O$436-Tabell2[[#This Row],[Beftettotal-T]])*100/O$439</f>
        <v>0.43014952200294942</v>
      </c>
      <c r="Z66" s="7">
        <f>100-(P$436-Tabell2[[#This Row],[Befvekst10-T]])*100/P$439</f>
        <v>5.5506765546229389</v>
      </c>
      <c r="AA66" s="7">
        <f>100-(Q$436-Tabell2[[#This Row],[Kvinneandel-T]])*100/Q$439</f>
        <v>6.5747806527113681</v>
      </c>
      <c r="AB66" s="7">
        <f>(R$436-Tabell2[[#This Row],[Eldreandel-T]])*100/R$439</f>
        <v>28.119911187784368</v>
      </c>
      <c r="AC66" s="7">
        <f>100-(S$436-Tabell2[[#This Row],[Sysselsettingsvekst10-T]])*100/S$439</f>
        <v>34.195701699722349</v>
      </c>
      <c r="AD66" s="7">
        <f>100-(T$436-Tabell2[[#This Row],[Yrkesaktivandel-T]])*100/T$439</f>
        <v>100</v>
      </c>
      <c r="AE66" s="7">
        <f>100-(U$436-Tabell2[[#This Row],[Inntekt-T]])*100/U$439</f>
        <v>0</v>
      </c>
      <c r="AF66" s="7">
        <v>4</v>
      </c>
      <c r="AG66" s="7">
        <v>5.105228519196114</v>
      </c>
      <c r="AH66" s="7">
        <v>4.3014952200294942E-2</v>
      </c>
      <c r="AI66" s="7">
        <v>1.1101353109245877</v>
      </c>
      <c r="AJ66" s="7">
        <v>0.32873903263556842</v>
      </c>
      <c r="AK66" s="7">
        <v>1.4059955593892184</v>
      </c>
      <c r="AL66" s="7">
        <v>3.4195701699722352</v>
      </c>
      <c r="AM66" s="7">
        <v>10</v>
      </c>
      <c r="AN66" s="7">
        <v>0</v>
      </c>
      <c r="AO6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25.412683544318018</v>
      </c>
    </row>
    <row r="67" spans="1:41" x14ac:dyDescent="0.3">
      <c r="A67" s="2" t="s">
        <v>64</v>
      </c>
      <c r="B67">
        <f>'Rådata-K'!N66</f>
        <v>4</v>
      </c>
      <c r="C67" s="7">
        <f>'Rådata-K'!M66</f>
        <v>126.383333333</v>
      </c>
      <c r="D67" s="24">
        <f>'Rådata-K'!O66</f>
        <v>60.939960520770953</v>
      </c>
      <c r="E67" s="24">
        <f>'Rådata-K'!P66</f>
        <v>57.460735721605282</v>
      </c>
      <c r="F67" s="24">
        <f>'Rådata-K'!Q66</f>
        <v>8.5407284506597181E-2</v>
      </c>
      <c r="G67" s="24">
        <f>'Rådata-K'!R66</f>
        <v>0.12665599068277769</v>
      </c>
      <c r="H67" s="24">
        <f>'Rådata-K'!S66</f>
        <v>0.16945698063764741</v>
      </c>
      <c r="I67" s="24">
        <f>'Rådata-K'!T66</f>
        <v>0.11078600877776301</v>
      </c>
      <c r="J67" s="24">
        <f>'Rådata-K'!U66</f>
        <v>0.87236555797326698</v>
      </c>
      <c r="K67" s="24">
        <f>'Rådata-K'!L66</f>
        <v>395900</v>
      </c>
      <c r="L67" s="24">
        <f>Tabell2[[#This Row],[NIBR11]]</f>
        <v>4</v>
      </c>
      <c r="M67" s="24">
        <f>IF(Tabell2[[#This Row],[ReisetidOslo]]&lt;=C$434,C$434,IF(Tabell2[[#This Row],[ReisetidOslo]]&gt;=C$435,C$435,Tabell2[[#This Row],[ReisetidOslo]]))</f>
        <v>126.383333333</v>
      </c>
      <c r="N67" s="24">
        <f>IF(Tabell2[[#This Row],[Beftettland]]&lt;=D$434,D$434,IF(Tabell2[[#This Row],[Beftettland]]&gt;=D$435,D$435,Tabell2[[#This Row],[Beftettland]]))</f>
        <v>60.939960520770953</v>
      </c>
      <c r="O67" s="24">
        <f>IF(Tabell2[[#This Row],[Beftettotal]]&lt;=E$434,E$434,IF(Tabell2[[#This Row],[Beftettotal]]&gt;=E$435,E$435,Tabell2[[#This Row],[Beftettotal]]))</f>
        <v>57.460735721605282</v>
      </c>
      <c r="P67" s="24">
        <f>IF(Tabell2[[#This Row],[Befvekst10]]&lt;=F$434,F$434,IF(Tabell2[[#This Row],[Befvekst10]]&gt;=F$435,F$435,Tabell2[[#This Row],[Befvekst10]]))</f>
        <v>8.5407284506597181E-2</v>
      </c>
      <c r="Q67" s="24">
        <f>IF(Tabell2[[#This Row],[Kvinneandel]]&lt;=G$434,G$434,IF(Tabell2[[#This Row],[Kvinneandel]]&gt;=G$435,G$435,Tabell2[[#This Row],[Kvinneandel]]))</f>
        <v>0.12665599068277769</v>
      </c>
      <c r="R67" s="24">
        <f>IF(Tabell2[[#This Row],[Eldreandel]]&lt;=H$434,H$434,IF(Tabell2[[#This Row],[Eldreandel]]&gt;=H$435,H$435,Tabell2[[#This Row],[Eldreandel]]))</f>
        <v>0.16945698063764741</v>
      </c>
      <c r="S67" s="24">
        <f>IF(Tabell2[[#This Row],[Sysselsettingsvekst10]]&lt;=I$434,I$434,IF(Tabell2[[#This Row],[Sysselsettingsvekst10]]&gt;=I$435,I$435,Tabell2[[#This Row],[Sysselsettingsvekst10]]))</f>
        <v>0.11078600877776301</v>
      </c>
      <c r="T67" s="24">
        <f>IF(Tabell2[[#This Row],[Yrkesaktivandel]]&lt;=J$434,J$434,IF(Tabell2[[#This Row],[Yrkesaktivandel]]&gt;=J$435,J$435,Tabell2[[#This Row],[Yrkesaktivandel]]))</f>
        <v>0.87236555797326698</v>
      </c>
      <c r="U67" s="24">
        <f>IF(Tabell2[[#This Row],[Inntekt]]&lt;=K$434,K$434,IF(Tabell2[[#This Row],[Inntekt]]&gt;=K$435,K$435,Tabell2[[#This Row],[Inntekt]]))</f>
        <v>395900</v>
      </c>
      <c r="V67" s="7">
        <f>IF(Tabell2[[#This Row],[NIBR11-T]]&lt;=L$437,100,IF(Tabell2[[#This Row],[NIBR11-T]]&gt;=L$436,0,100*(L$436-Tabell2[[#This Row],[NIBR11-T]])/L$439))</f>
        <v>70</v>
      </c>
      <c r="W67" s="7">
        <f>(M$436-Tabell2[[#This Row],[ReisetidOslo-T]])*100/M$439</f>
        <v>67.600731261575532</v>
      </c>
      <c r="X67" s="7">
        <f>100-(N$436-Tabell2[[#This Row],[Beftettland-T]])*100/N$439</f>
        <v>44.040051105044867</v>
      </c>
      <c r="Y67" s="7">
        <f>100-(O$436-Tabell2[[#This Row],[Beftettotal-T]])*100/O$439</f>
        <v>42.973766657457197</v>
      </c>
      <c r="Z67" s="7">
        <f>100-(P$436-Tabell2[[#This Row],[Befvekst10-T]])*100/P$439</f>
        <v>63.333021341632012</v>
      </c>
      <c r="AA67" s="7">
        <f>100-(Q$436-Tabell2[[#This Row],[Kvinneandel-T]])*100/Q$439</f>
        <v>97.553446776791731</v>
      </c>
      <c r="AB67" s="7">
        <f>(R$436-Tabell2[[#This Row],[Eldreandel-T]])*100/R$439</f>
        <v>54.903830195259381</v>
      </c>
      <c r="AC67" s="7">
        <f>100-(S$436-Tabell2[[#This Row],[Sysselsettingsvekst10-T]])*100/S$439</f>
        <v>66.365565739153297</v>
      </c>
      <c r="AD67" s="7">
        <f>100-(T$436-Tabell2[[#This Row],[Yrkesaktivandel-T]])*100/T$439</f>
        <v>51.825901213663052</v>
      </c>
      <c r="AE67" s="7">
        <f>100-(U$436-Tabell2[[#This Row],[Inntekt-T]])*100/U$439</f>
        <v>58.108565624647333</v>
      </c>
      <c r="AF67" s="7">
        <v>14</v>
      </c>
      <c r="AG67" s="7">
        <v>6.760073126157554</v>
      </c>
      <c r="AH67" s="7">
        <v>4.2973766657457197</v>
      </c>
      <c r="AI67" s="7">
        <v>12.666604268326402</v>
      </c>
      <c r="AJ67" s="7">
        <v>4.8776723388395871</v>
      </c>
      <c r="AK67" s="7">
        <v>2.7451915097629693</v>
      </c>
      <c r="AL67" s="7">
        <v>6.63655657391533</v>
      </c>
      <c r="AM67" s="7">
        <v>5.1825901213663057</v>
      </c>
      <c r="AN67" s="7">
        <v>5.8108565624647337</v>
      </c>
      <c r="AO6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62.976921166578599</v>
      </c>
    </row>
    <row r="68" spans="1:41" x14ac:dyDescent="0.3">
      <c r="A68" s="2" t="s">
        <v>65</v>
      </c>
      <c r="B68">
        <f>'Rådata-K'!N67</f>
        <v>4</v>
      </c>
      <c r="C68" s="7">
        <f>'Rådata-K'!M67</f>
        <v>104.05</v>
      </c>
      <c r="D68" s="24">
        <f>'Rådata-K'!O67</f>
        <v>47.83423011602622</v>
      </c>
      <c r="E68" s="24">
        <f>'Rådata-K'!P67</f>
        <v>44.830048345109709</v>
      </c>
      <c r="F68" s="24">
        <f>'Rådata-K'!Q67</f>
        <v>8.332434666954236E-2</v>
      </c>
      <c r="G68" s="24">
        <f>'Rådata-K'!R67</f>
        <v>0.11988585459733882</v>
      </c>
      <c r="H68" s="24">
        <f>'Rådata-K'!S67</f>
        <v>0.16454856156883566</v>
      </c>
      <c r="I68" s="24">
        <f>'Rådata-K'!T67</f>
        <v>7.4841492908033214E-2</v>
      </c>
      <c r="J68" s="24">
        <f>'Rådata-K'!U67</f>
        <v>0.83272706604524271</v>
      </c>
      <c r="K68" s="24">
        <f>'Rådata-K'!L67</f>
        <v>375200</v>
      </c>
      <c r="L68" s="24">
        <f>Tabell2[[#This Row],[NIBR11]]</f>
        <v>4</v>
      </c>
      <c r="M68" s="24">
        <f>IF(Tabell2[[#This Row],[ReisetidOslo]]&lt;=C$434,C$434,IF(Tabell2[[#This Row],[ReisetidOslo]]&gt;=C$435,C$435,Tabell2[[#This Row],[ReisetidOslo]]))</f>
        <v>104.05</v>
      </c>
      <c r="N68" s="24">
        <f>IF(Tabell2[[#This Row],[Beftettland]]&lt;=D$434,D$434,IF(Tabell2[[#This Row],[Beftettland]]&gt;=D$435,D$435,Tabell2[[#This Row],[Beftettland]]))</f>
        <v>47.83423011602622</v>
      </c>
      <c r="O68" s="24">
        <f>IF(Tabell2[[#This Row],[Beftettotal]]&lt;=E$434,E$434,IF(Tabell2[[#This Row],[Beftettotal]]&gt;=E$435,E$435,Tabell2[[#This Row],[Beftettotal]]))</f>
        <v>44.830048345109709</v>
      </c>
      <c r="P68" s="24">
        <f>IF(Tabell2[[#This Row],[Befvekst10]]&lt;=F$434,F$434,IF(Tabell2[[#This Row],[Befvekst10]]&gt;=F$435,F$435,Tabell2[[#This Row],[Befvekst10]]))</f>
        <v>8.332434666954236E-2</v>
      </c>
      <c r="Q68" s="24">
        <f>IF(Tabell2[[#This Row],[Kvinneandel]]&lt;=G$434,G$434,IF(Tabell2[[#This Row],[Kvinneandel]]&gt;=G$435,G$435,Tabell2[[#This Row],[Kvinneandel]]))</f>
        <v>0.11988585459733882</v>
      </c>
      <c r="R68" s="24">
        <f>IF(Tabell2[[#This Row],[Eldreandel]]&lt;=H$434,H$434,IF(Tabell2[[#This Row],[Eldreandel]]&gt;=H$435,H$435,Tabell2[[#This Row],[Eldreandel]]))</f>
        <v>0.16454856156883566</v>
      </c>
      <c r="S68" s="24">
        <f>IF(Tabell2[[#This Row],[Sysselsettingsvekst10]]&lt;=I$434,I$434,IF(Tabell2[[#This Row],[Sysselsettingsvekst10]]&gt;=I$435,I$435,Tabell2[[#This Row],[Sysselsettingsvekst10]]))</f>
        <v>7.4841492908033214E-2</v>
      </c>
      <c r="T68" s="24">
        <f>IF(Tabell2[[#This Row],[Yrkesaktivandel]]&lt;=J$434,J$434,IF(Tabell2[[#This Row],[Yrkesaktivandel]]&gt;=J$435,J$435,Tabell2[[#This Row],[Yrkesaktivandel]]))</f>
        <v>0.83272706604524271</v>
      </c>
      <c r="U68" s="24">
        <f>IF(Tabell2[[#This Row],[Inntekt]]&lt;=K$434,K$434,IF(Tabell2[[#This Row],[Inntekt]]&gt;=K$435,K$435,Tabell2[[#This Row],[Inntekt]]))</f>
        <v>375200</v>
      </c>
      <c r="V68" s="7">
        <f>IF(Tabell2[[#This Row],[NIBR11-T]]&lt;=L$437,100,IF(Tabell2[[#This Row],[NIBR11-T]]&gt;=L$436,0,100*(L$436-Tabell2[[#This Row],[NIBR11-T]])/L$439))</f>
        <v>70</v>
      </c>
      <c r="W68" s="7">
        <f>(M$436-Tabell2[[#This Row],[ReisetidOslo-T]])*100/M$439</f>
        <v>77.39963436928933</v>
      </c>
      <c r="X68" s="7">
        <f>100-(N$436-Tabell2[[#This Row],[Beftettland-T]])*100/N$439</f>
        <v>34.345693257903562</v>
      </c>
      <c r="Y68" s="7">
        <f>100-(O$436-Tabell2[[#This Row],[Beftettotal-T]])*100/O$439</f>
        <v>33.305751431175977</v>
      </c>
      <c r="Z68" s="7">
        <f>100-(P$436-Tabell2[[#This Row],[Befvekst10-T]])*100/P$439</f>
        <v>62.489929232018092</v>
      </c>
      <c r="AA68" s="7">
        <f>100-(Q$436-Tabell2[[#This Row],[Kvinneandel-T]])*100/Q$439</f>
        <v>79.76793862723656</v>
      </c>
      <c r="AB68" s="7">
        <f>(R$436-Tabell2[[#This Row],[Eldreandel-T]])*100/R$439</f>
        <v>60.201265201835106</v>
      </c>
      <c r="AC68" s="7">
        <f>100-(S$436-Tabell2[[#This Row],[Sysselsettingsvekst10-T]])*100/S$439</f>
        <v>54.635026226986582</v>
      </c>
      <c r="AD68" s="7">
        <f>100-(T$436-Tabell2[[#This Row],[Yrkesaktivandel-T]])*100/T$439</f>
        <v>23.869117726251218</v>
      </c>
      <c r="AE68" s="7">
        <f>100-(U$436-Tabell2[[#This Row],[Inntekt-T]])*100/U$439</f>
        <v>34.747771131926413</v>
      </c>
      <c r="AF68" s="7">
        <v>14</v>
      </c>
      <c r="AG68" s="7">
        <v>7.7399634369289334</v>
      </c>
      <c r="AH68" s="7">
        <v>3.3305751431175978</v>
      </c>
      <c r="AI68" s="7">
        <v>12.497985846403619</v>
      </c>
      <c r="AJ68" s="7">
        <v>3.9883969313618284</v>
      </c>
      <c r="AK68" s="7">
        <v>3.0100632600917554</v>
      </c>
      <c r="AL68" s="7">
        <v>5.4635026226986589</v>
      </c>
      <c r="AM68" s="7">
        <v>2.3869117726251221</v>
      </c>
      <c r="AN68" s="7">
        <v>3.4747771131926415</v>
      </c>
      <c r="AO6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55.892176126420161</v>
      </c>
    </row>
    <row r="69" spans="1:41" x14ac:dyDescent="0.3">
      <c r="A69" s="2" t="s">
        <v>66</v>
      </c>
      <c r="B69">
        <f>'Rådata-K'!N68</f>
        <v>10</v>
      </c>
      <c r="C69" s="7">
        <f>'Rådata-K'!M68</f>
        <v>238.68333333300001</v>
      </c>
      <c r="D69" s="24">
        <f>'Rådata-K'!O68</f>
        <v>2.0020160991446403</v>
      </c>
      <c r="E69" s="24">
        <f>'Rådata-K'!P68</f>
        <v>1.9796392527063376</v>
      </c>
      <c r="F69" s="24">
        <f>'Rådata-K'!Q68</f>
        <v>-4.4232130219391319E-2</v>
      </c>
      <c r="G69" s="24">
        <f>'Rådata-K'!R68</f>
        <v>8.922621251388374E-2</v>
      </c>
      <c r="H69" s="24">
        <f>'Rådata-K'!S68</f>
        <v>0.21066271751203258</v>
      </c>
      <c r="I69" s="24">
        <f>'Rådata-K'!T68</f>
        <v>-4.3773584905660412E-2</v>
      </c>
      <c r="J69" s="24">
        <f>'Rådata-K'!U68</f>
        <v>0.8652434956637759</v>
      </c>
      <c r="K69" s="24">
        <f>'Rådata-K'!L68</f>
        <v>343500</v>
      </c>
      <c r="L69" s="24">
        <f>Tabell2[[#This Row],[NIBR11]]</f>
        <v>10</v>
      </c>
      <c r="M69" s="24">
        <f>IF(Tabell2[[#This Row],[ReisetidOslo]]&lt;=C$434,C$434,IF(Tabell2[[#This Row],[ReisetidOslo]]&gt;=C$435,C$435,Tabell2[[#This Row],[ReisetidOslo]]))</f>
        <v>238.68333333300001</v>
      </c>
      <c r="N69" s="24">
        <f>IF(Tabell2[[#This Row],[Beftettland]]&lt;=D$434,D$434,IF(Tabell2[[#This Row],[Beftettland]]&gt;=D$435,D$435,Tabell2[[#This Row],[Beftettland]]))</f>
        <v>2.0020160991446403</v>
      </c>
      <c r="O69" s="24">
        <f>IF(Tabell2[[#This Row],[Beftettotal]]&lt;=E$434,E$434,IF(Tabell2[[#This Row],[Beftettotal]]&gt;=E$435,E$435,Tabell2[[#This Row],[Beftettotal]]))</f>
        <v>1.9796392527063376</v>
      </c>
      <c r="P69" s="24">
        <f>IF(Tabell2[[#This Row],[Befvekst10]]&lt;=F$434,F$434,IF(Tabell2[[#This Row],[Befvekst10]]&gt;=F$435,F$435,Tabell2[[#This Row],[Befvekst10]]))</f>
        <v>-4.4232130219391319E-2</v>
      </c>
      <c r="Q69" s="24">
        <f>IF(Tabell2[[#This Row],[Kvinneandel]]&lt;=G$434,G$434,IF(Tabell2[[#This Row],[Kvinneandel]]&gt;=G$435,G$435,Tabell2[[#This Row],[Kvinneandel]]))</f>
        <v>8.9521819157910881E-2</v>
      </c>
      <c r="R69" s="24">
        <f>IF(Tabell2[[#This Row],[Eldreandel]]&lt;=H$434,H$434,IF(Tabell2[[#This Row],[Eldreandel]]&gt;=H$435,H$435,Tabell2[[#This Row],[Eldreandel]]))</f>
        <v>0.21066271751203258</v>
      </c>
      <c r="S69" s="24">
        <f>IF(Tabell2[[#This Row],[Sysselsettingsvekst10]]&lt;=I$434,I$434,IF(Tabell2[[#This Row],[Sysselsettingsvekst10]]&gt;=I$435,I$435,Tabell2[[#This Row],[Sysselsettingsvekst10]]))</f>
        <v>-4.3773584905660412E-2</v>
      </c>
      <c r="T69" s="24">
        <f>IF(Tabell2[[#This Row],[Yrkesaktivandel]]&lt;=J$434,J$434,IF(Tabell2[[#This Row],[Yrkesaktivandel]]&gt;=J$435,J$435,Tabell2[[#This Row],[Yrkesaktivandel]]))</f>
        <v>0.8652434956637759</v>
      </c>
      <c r="U69" s="24">
        <f>IF(Tabell2[[#This Row],[Inntekt]]&lt;=K$434,K$434,IF(Tabell2[[#This Row],[Inntekt]]&gt;=K$435,K$435,Tabell2[[#This Row],[Inntekt]]))</f>
        <v>344410</v>
      </c>
      <c r="V69" s="7">
        <f>IF(Tabell2[[#This Row],[NIBR11-T]]&lt;=L$437,100,IF(Tabell2[[#This Row],[NIBR11-T]]&gt;=L$436,0,100*(L$436-Tabell2[[#This Row],[NIBR11-T]])/L$439))</f>
        <v>10</v>
      </c>
      <c r="W69" s="7">
        <f>(M$436-Tabell2[[#This Row],[ReisetidOslo-T]])*100/M$439</f>
        <v>18.328336380410555</v>
      </c>
      <c r="X69" s="7">
        <f>100-(N$436-Tabell2[[#This Row],[Beftettland-T]])*100/N$439</f>
        <v>0.44343295766432789</v>
      </c>
      <c r="Y69" s="7">
        <f>100-(O$436-Tabell2[[#This Row],[Beftettotal-T]])*100/O$439</f>
        <v>0.5063957659677385</v>
      </c>
      <c r="Z69" s="7">
        <f>100-(P$436-Tabell2[[#This Row],[Befvekst10-T]])*100/P$439</f>
        <v>10.860035491516612</v>
      </c>
      <c r="AA69" s="7">
        <f>100-(Q$436-Tabell2[[#This Row],[Kvinneandel-T]])*100/Q$439</f>
        <v>0</v>
      </c>
      <c r="AB69" s="7">
        <f>(R$436-Tabell2[[#This Row],[Eldreandel-T]])*100/R$439</f>
        <v>10.432339491235398</v>
      </c>
      <c r="AC69" s="7">
        <f>100-(S$436-Tabell2[[#This Row],[Sysselsettingsvekst10-T]])*100/S$439</f>
        <v>15.924841283195818</v>
      </c>
      <c r="AD69" s="7">
        <f>100-(T$436-Tabell2[[#This Row],[Yrkesaktivandel-T]])*100/T$439</f>
        <v>46.802754663793209</v>
      </c>
      <c r="AE69" s="7">
        <f>100-(U$436-Tabell2[[#This Row],[Inntekt-T]])*100/U$439</f>
        <v>0</v>
      </c>
      <c r="AF69" s="7">
        <v>2</v>
      </c>
      <c r="AG69" s="7">
        <v>1.8328336380410555</v>
      </c>
      <c r="AH69" s="7">
        <v>5.0639576596773851E-2</v>
      </c>
      <c r="AI69" s="7">
        <v>2.1720070983033226</v>
      </c>
      <c r="AJ69" s="7">
        <v>0</v>
      </c>
      <c r="AK69" s="7">
        <v>0.52161697456176992</v>
      </c>
      <c r="AL69" s="7">
        <v>1.5924841283195819</v>
      </c>
      <c r="AM69" s="7">
        <v>4.6802754663793209</v>
      </c>
      <c r="AN69" s="7">
        <v>0</v>
      </c>
      <c r="AO6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12.849856882201824</v>
      </c>
    </row>
    <row r="70" spans="1:41" x14ac:dyDescent="0.3">
      <c r="A70" s="2" t="s">
        <v>67</v>
      </c>
      <c r="B70">
        <f>'Rådata-K'!N69</f>
        <v>10</v>
      </c>
      <c r="C70" s="7">
        <f>'Rådata-K'!M69</f>
        <v>260.60000000000002</v>
      </c>
      <c r="D70" s="24">
        <f>'Rådata-K'!O69</f>
        <v>0.94738006767659078</v>
      </c>
      <c r="E70" s="24">
        <f>'Rådata-K'!P69</f>
        <v>0.90949325071918563</v>
      </c>
      <c r="F70" s="24">
        <f>'Rådata-K'!Q69</f>
        <v>-5.3867403314917128E-2</v>
      </c>
      <c r="G70" s="24">
        <f>'Rådata-K'!R69</f>
        <v>9.2457420924574207E-2</v>
      </c>
      <c r="H70" s="24">
        <f>'Rådata-K'!S69</f>
        <v>0.19318734793187348</v>
      </c>
      <c r="I70" s="24">
        <f>'Rådata-K'!T69</f>
        <v>-9.5604395604395598E-2</v>
      </c>
      <c r="J70" s="24">
        <f>'Rådata-K'!U69</f>
        <v>0.94504504504504505</v>
      </c>
      <c r="K70" s="24">
        <f>'Rådata-K'!L69</f>
        <v>357100</v>
      </c>
      <c r="L70" s="24">
        <f>Tabell2[[#This Row],[NIBR11]]</f>
        <v>10</v>
      </c>
      <c r="M70" s="24">
        <f>IF(Tabell2[[#This Row],[ReisetidOslo]]&lt;=C$434,C$434,IF(Tabell2[[#This Row],[ReisetidOslo]]&gt;=C$435,C$435,Tabell2[[#This Row],[ReisetidOslo]]))</f>
        <v>260.60000000000002</v>
      </c>
      <c r="N70" s="24">
        <f>IF(Tabell2[[#This Row],[Beftettland]]&lt;=D$434,D$434,IF(Tabell2[[#This Row],[Beftettland]]&gt;=D$435,D$435,Tabell2[[#This Row],[Beftettland]]))</f>
        <v>1.4025423756281519</v>
      </c>
      <c r="O70" s="24">
        <f>IF(Tabell2[[#This Row],[Beftettotal]]&lt;=E$434,E$434,IF(Tabell2[[#This Row],[Beftettotal]]&gt;=E$435,E$435,Tabell2[[#This Row],[Beftettotal]]))</f>
        <v>1.3180632767674032</v>
      </c>
      <c r="P70" s="24">
        <f>IF(Tabell2[[#This Row],[Befvekst10]]&lt;=F$434,F$434,IF(Tabell2[[#This Row],[Befvekst10]]&gt;=F$435,F$435,Tabell2[[#This Row],[Befvekst10]]))</f>
        <v>-5.3867403314917128E-2</v>
      </c>
      <c r="Q70" s="24">
        <f>IF(Tabell2[[#This Row],[Kvinneandel]]&lt;=G$434,G$434,IF(Tabell2[[#This Row],[Kvinneandel]]&gt;=G$435,G$435,Tabell2[[#This Row],[Kvinneandel]]))</f>
        <v>9.2457420924574207E-2</v>
      </c>
      <c r="R70" s="24">
        <f>IF(Tabell2[[#This Row],[Eldreandel]]&lt;=H$434,H$434,IF(Tabell2[[#This Row],[Eldreandel]]&gt;=H$435,H$435,Tabell2[[#This Row],[Eldreandel]]))</f>
        <v>0.19318734793187348</v>
      </c>
      <c r="S70" s="24">
        <f>IF(Tabell2[[#This Row],[Sysselsettingsvekst10]]&lt;=I$434,I$434,IF(Tabell2[[#This Row],[Sysselsettingsvekst10]]&gt;=I$435,I$435,Tabell2[[#This Row],[Sysselsettingsvekst10]]))</f>
        <v>-9.2570207570207563E-2</v>
      </c>
      <c r="T70" s="24">
        <f>IF(Tabell2[[#This Row],[Yrkesaktivandel]]&lt;=J$434,J$434,IF(Tabell2[[#This Row],[Yrkesaktivandel]]&gt;=J$435,J$435,Tabell2[[#This Row],[Yrkesaktivandel]]))</f>
        <v>0.94066914614326791</v>
      </c>
      <c r="U70" s="24">
        <f>IF(Tabell2[[#This Row],[Inntekt]]&lt;=K$434,K$434,IF(Tabell2[[#This Row],[Inntekt]]&gt;=K$435,K$435,Tabell2[[#This Row],[Inntekt]]))</f>
        <v>357100</v>
      </c>
      <c r="V70" s="7">
        <f>IF(Tabell2[[#This Row],[NIBR11-T]]&lt;=L$437,100,IF(Tabell2[[#This Row],[NIBR11-T]]&gt;=L$436,0,100*(L$436-Tabell2[[#This Row],[NIBR11-T]])/L$439))</f>
        <v>10</v>
      </c>
      <c r="W70" s="7">
        <f>(M$436-Tabell2[[#This Row],[ReisetidOslo-T]])*100/M$439</f>
        <v>8.7122486288941658</v>
      </c>
      <c r="X70" s="7">
        <f>100-(N$436-Tabell2[[#This Row],[Beftettland-T]])*100/N$439</f>
        <v>0</v>
      </c>
      <c r="Y70" s="7">
        <f>100-(O$436-Tabell2[[#This Row],[Beftettotal-T]])*100/O$439</f>
        <v>0</v>
      </c>
      <c r="Z70" s="7">
        <f>100-(P$436-Tabell2[[#This Row],[Befvekst10-T]])*100/P$439</f>
        <v>6.9600522196685972</v>
      </c>
      <c r="AA70" s="7">
        <f>100-(Q$436-Tabell2[[#This Row],[Kvinneandel-T]])*100/Q$439</f>
        <v>7.7119822239813374</v>
      </c>
      <c r="AB70" s="7">
        <f>(R$436-Tabell2[[#This Row],[Eldreandel-T]])*100/R$439</f>
        <v>29.292716583934219</v>
      </c>
      <c r="AC70" s="7">
        <f>100-(S$436-Tabell2[[#This Row],[Sysselsettingsvekst10-T]])*100/S$439</f>
        <v>0</v>
      </c>
      <c r="AD70" s="7">
        <f>100-(T$436-Tabell2[[#This Row],[Yrkesaktivandel-T]])*100/T$439</f>
        <v>100</v>
      </c>
      <c r="AE70" s="7">
        <f>100-(U$436-Tabell2[[#This Row],[Inntekt-T]])*100/U$439</f>
        <v>14.321182710754996</v>
      </c>
      <c r="AF70" s="7">
        <v>2</v>
      </c>
      <c r="AG70" s="7">
        <v>0.87122486288941658</v>
      </c>
      <c r="AH70" s="7">
        <v>0</v>
      </c>
      <c r="AI70" s="7">
        <v>1.3920104439337195</v>
      </c>
      <c r="AJ70" s="7">
        <v>0.38559911119906687</v>
      </c>
      <c r="AK70" s="7">
        <v>1.464635829196711</v>
      </c>
      <c r="AL70" s="7">
        <v>0</v>
      </c>
      <c r="AM70" s="7">
        <v>10</v>
      </c>
      <c r="AN70" s="7">
        <v>1.4321182710754998</v>
      </c>
      <c r="AO7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17.545588518294412</v>
      </c>
    </row>
    <row r="71" spans="1:41" x14ac:dyDescent="0.3">
      <c r="A71" s="2" t="s">
        <v>68</v>
      </c>
      <c r="B71">
        <f>'Rådata-K'!N70</f>
        <v>10</v>
      </c>
      <c r="C71" s="7">
        <f>'Rådata-K'!M70</f>
        <v>267.39999999999998</v>
      </c>
      <c r="D71" s="24">
        <f>'Rådata-K'!O70</f>
        <v>1.1199926824434541</v>
      </c>
      <c r="E71" s="24">
        <f>'Rådata-K'!P70</f>
        <v>1.0618974430627359</v>
      </c>
      <c r="F71" s="24">
        <f>'Rådata-K'!Q70</f>
        <v>-7.2390572390572339E-2</v>
      </c>
      <c r="G71" s="24">
        <f>'Rådata-K'!R70</f>
        <v>9.8003629764065334E-2</v>
      </c>
      <c r="H71" s="24">
        <f>'Rådata-K'!S70</f>
        <v>0.22141560798548093</v>
      </c>
      <c r="I71" s="24">
        <f>'Rådata-K'!T70</f>
        <v>-5.7354301572617894E-2</v>
      </c>
      <c r="J71" s="24">
        <f>'Rådata-K'!U70</f>
        <v>0.92429284525790345</v>
      </c>
      <c r="K71" s="24">
        <f>'Rådata-K'!L70</f>
        <v>355800</v>
      </c>
      <c r="L71" s="24">
        <f>Tabell2[[#This Row],[NIBR11]]</f>
        <v>10</v>
      </c>
      <c r="M71" s="24">
        <f>IF(Tabell2[[#This Row],[ReisetidOslo]]&lt;=C$434,C$434,IF(Tabell2[[#This Row],[ReisetidOslo]]&gt;=C$435,C$435,Tabell2[[#This Row],[ReisetidOslo]]))</f>
        <v>267.39999999999998</v>
      </c>
      <c r="N71" s="24">
        <f>IF(Tabell2[[#This Row],[Beftettland]]&lt;=D$434,D$434,IF(Tabell2[[#This Row],[Beftettland]]&gt;=D$435,D$435,Tabell2[[#This Row],[Beftettland]]))</f>
        <v>1.4025423756281519</v>
      </c>
      <c r="O71" s="24">
        <f>IF(Tabell2[[#This Row],[Beftettotal]]&lt;=E$434,E$434,IF(Tabell2[[#This Row],[Beftettotal]]&gt;=E$435,E$435,Tabell2[[#This Row],[Beftettotal]]))</f>
        <v>1.3180632767674032</v>
      </c>
      <c r="P71" s="24">
        <f>IF(Tabell2[[#This Row],[Befvekst10]]&lt;=F$434,F$434,IF(Tabell2[[#This Row],[Befvekst10]]&gt;=F$435,F$435,Tabell2[[#This Row],[Befvekst10]]))</f>
        <v>-7.1062862685144085E-2</v>
      </c>
      <c r="Q71" s="24">
        <f>IF(Tabell2[[#This Row],[Kvinneandel]]&lt;=G$434,G$434,IF(Tabell2[[#This Row],[Kvinneandel]]&gt;=G$435,G$435,Tabell2[[#This Row],[Kvinneandel]]))</f>
        <v>9.8003629764065334E-2</v>
      </c>
      <c r="R71" s="24">
        <f>IF(Tabell2[[#This Row],[Eldreandel]]&lt;=H$434,H$434,IF(Tabell2[[#This Row],[Eldreandel]]&gt;=H$435,H$435,Tabell2[[#This Row],[Eldreandel]]))</f>
        <v>0.22032896051974013</v>
      </c>
      <c r="S71" s="24">
        <f>IF(Tabell2[[#This Row],[Sysselsettingsvekst10]]&lt;=I$434,I$434,IF(Tabell2[[#This Row],[Sysselsettingsvekst10]]&gt;=I$435,I$435,Tabell2[[#This Row],[Sysselsettingsvekst10]]))</f>
        <v>-5.7354301572617894E-2</v>
      </c>
      <c r="T71" s="24">
        <f>IF(Tabell2[[#This Row],[Yrkesaktivandel]]&lt;=J$434,J$434,IF(Tabell2[[#This Row],[Yrkesaktivandel]]&gt;=J$435,J$435,Tabell2[[#This Row],[Yrkesaktivandel]]))</f>
        <v>0.92429284525790345</v>
      </c>
      <c r="U71" s="24">
        <f>IF(Tabell2[[#This Row],[Inntekt]]&lt;=K$434,K$434,IF(Tabell2[[#This Row],[Inntekt]]&gt;=K$435,K$435,Tabell2[[#This Row],[Inntekt]]))</f>
        <v>355800</v>
      </c>
      <c r="V71" s="7">
        <f>IF(Tabell2[[#This Row],[NIBR11-T]]&lt;=L$437,100,IF(Tabell2[[#This Row],[NIBR11-T]]&gt;=L$436,0,100*(L$436-Tabell2[[#This Row],[NIBR11-T]])/L$439))</f>
        <v>10</v>
      </c>
      <c r="W71" s="7">
        <f>(M$436-Tabell2[[#This Row],[ReisetidOslo-T]])*100/M$439</f>
        <v>5.7287020109785871</v>
      </c>
      <c r="X71" s="7">
        <f>100-(N$436-Tabell2[[#This Row],[Beftettland-T]])*100/N$439</f>
        <v>0</v>
      </c>
      <c r="Y71" s="7">
        <f>100-(O$436-Tabell2[[#This Row],[Beftettotal-T]])*100/O$439</f>
        <v>0</v>
      </c>
      <c r="Z71" s="7">
        <f>100-(P$436-Tabell2[[#This Row],[Befvekst10-T]])*100/P$439</f>
        <v>0</v>
      </c>
      <c r="AA71" s="7">
        <f>100-(Q$436-Tabell2[[#This Row],[Kvinneandel-T]])*100/Q$439</f>
        <v>22.282168298388711</v>
      </c>
      <c r="AB71" s="7">
        <f>(R$436-Tabell2[[#This Row],[Eldreandel-T]])*100/R$439</f>
        <v>0</v>
      </c>
      <c r="AC71" s="7">
        <f>100-(S$436-Tabell2[[#This Row],[Sysselsettingsvekst10-T]])*100/S$439</f>
        <v>11.492756732588589</v>
      </c>
      <c r="AD71" s="7">
        <f>100-(T$436-Tabell2[[#This Row],[Yrkesaktivandel-T]])*100/T$439</f>
        <v>88.449896151241774</v>
      </c>
      <c r="AE71" s="7">
        <f>100-(U$436-Tabell2[[#This Row],[Inntekt-T]])*100/U$439</f>
        <v>12.854079674980255</v>
      </c>
      <c r="AF71" s="7">
        <v>2</v>
      </c>
      <c r="AG71" s="7">
        <v>0.57287020109785869</v>
      </c>
      <c r="AH71" s="7">
        <v>0</v>
      </c>
      <c r="AI71" s="7">
        <v>0</v>
      </c>
      <c r="AJ71" s="7">
        <v>1.1141084149194356</v>
      </c>
      <c r="AK71" s="7">
        <v>0</v>
      </c>
      <c r="AL71" s="7">
        <v>1.1492756732588589</v>
      </c>
      <c r="AM71" s="7">
        <v>8.8449896151241774</v>
      </c>
      <c r="AN71" s="7">
        <v>1.2854079674980257</v>
      </c>
      <c r="AO7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14.966651871898357</v>
      </c>
    </row>
    <row r="72" spans="1:41" x14ac:dyDescent="0.3">
      <c r="A72" s="2" t="s">
        <v>69</v>
      </c>
      <c r="B72">
        <f>'Rådata-K'!N71</f>
        <v>10</v>
      </c>
      <c r="C72" s="7">
        <f>'Rådata-K'!M71</f>
        <v>251.966666667</v>
      </c>
      <c r="D72" s="24">
        <f>'Rådata-K'!O71</f>
        <v>1.2426405184463551</v>
      </c>
      <c r="E72" s="24">
        <f>'Rådata-K'!P71</f>
        <v>1.1922481013944275</v>
      </c>
      <c r="F72" s="24">
        <f>'Rådata-K'!Q71</f>
        <v>-4.3991853360488831E-2</v>
      </c>
      <c r="G72" s="24">
        <f>'Rådata-K'!R71</f>
        <v>9.8849595227950574E-2</v>
      </c>
      <c r="H72" s="24">
        <f>'Rådata-K'!S71</f>
        <v>0.18662121857690669</v>
      </c>
      <c r="I72" s="24">
        <f>'Rådata-K'!T71</f>
        <v>-0.15975885455915595</v>
      </c>
      <c r="J72" s="24">
        <f>'Rådata-K'!U71</f>
        <v>0.91648023862788963</v>
      </c>
      <c r="K72" s="24">
        <f>'Rådata-K'!L71</f>
        <v>355000</v>
      </c>
      <c r="L72" s="24">
        <f>Tabell2[[#This Row],[NIBR11]]</f>
        <v>10</v>
      </c>
      <c r="M72" s="24">
        <f>IF(Tabell2[[#This Row],[ReisetidOslo]]&lt;=C$434,C$434,IF(Tabell2[[#This Row],[ReisetidOslo]]&gt;=C$435,C$435,Tabell2[[#This Row],[ReisetidOslo]]))</f>
        <v>251.966666667</v>
      </c>
      <c r="N72" s="24">
        <f>IF(Tabell2[[#This Row],[Beftettland]]&lt;=D$434,D$434,IF(Tabell2[[#This Row],[Beftettland]]&gt;=D$435,D$435,Tabell2[[#This Row],[Beftettland]]))</f>
        <v>1.4025423756281519</v>
      </c>
      <c r="O72" s="24">
        <f>IF(Tabell2[[#This Row],[Beftettotal]]&lt;=E$434,E$434,IF(Tabell2[[#This Row],[Beftettotal]]&gt;=E$435,E$435,Tabell2[[#This Row],[Beftettotal]]))</f>
        <v>1.3180632767674032</v>
      </c>
      <c r="P72" s="24">
        <f>IF(Tabell2[[#This Row],[Befvekst10]]&lt;=F$434,F$434,IF(Tabell2[[#This Row],[Befvekst10]]&gt;=F$435,F$435,Tabell2[[#This Row],[Befvekst10]]))</f>
        <v>-4.3991853360488831E-2</v>
      </c>
      <c r="Q72" s="24">
        <f>IF(Tabell2[[#This Row],[Kvinneandel]]&lt;=G$434,G$434,IF(Tabell2[[#This Row],[Kvinneandel]]&gt;=G$435,G$435,Tabell2[[#This Row],[Kvinneandel]]))</f>
        <v>9.8849595227950574E-2</v>
      </c>
      <c r="R72" s="24">
        <f>IF(Tabell2[[#This Row],[Eldreandel]]&lt;=H$434,H$434,IF(Tabell2[[#This Row],[Eldreandel]]&gt;=H$435,H$435,Tabell2[[#This Row],[Eldreandel]]))</f>
        <v>0.18662121857690669</v>
      </c>
      <c r="S72" s="24">
        <f>IF(Tabell2[[#This Row],[Sysselsettingsvekst10]]&lt;=I$434,I$434,IF(Tabell2[[#This Row],[Sysselsettingsvekst10]]&gt;=I$435,I$435,Tabell2[[#This Row],[Sysselsettingsvekst10]]))</f>
        <v>-9.2570207570207563E-2</v>
      </c>
      <c r="T72" s="24">
        <f>IF(Tabell2[[#This Row],[Yrkesaktivandel]]&lt;=J$434,J$434,IF(Tabell2[[#This Row],[Yrkesaktivandel]]&gt;=J$435,J$435,Tabell2[[#This Row],[Yrkesaktivandel]]))</f>
        <v>0.91648023862788963</v>
      </c>
      <c r="U72" s="24">
        <f>IF(Tabell2[[#This Row],[Inntekt]]&lt;=K$434,K$434,IF(Tabell2[[#This Row],[Inntekt]]&gt;=K$435,K$435,Tabell2[[#This Row],[Inntekt]]))</f>
        <v>355000</v>
      </c>
      <c r="V72" s="7">
        <f>IF(Tabell2[[#This Row],[NIBR11-T]]&lt;=L$437,100,IF(Tabell2[[#This Row],[NIBR11-T]]&gt;=L$436,0,100*(L$436-Tabell2[[#This Row],[NIBR11-T]])/L$439))</f>
        <v>10</v>
      </c>
      <c r="W72" s="7">
        <f>(M$436-Tabell2[[#This Row],[ReisetidOslo-T]])*100/M$439</f>
        <v>12.500182815219199</v>
      </c>
      <c r="X72" s="7">
        <f>100-(N$436-Tabell2[[#This Row],[Beftettland-T]])*100/N$439</f>
        <v>0</v>
      </c>
      <c r="Y72" s="7">
        <f>100-(O$436-Tabell2[[#This Row],[Beftettotal-T]])*100/O$439</f>
        <v>0</v>
      </c>
      <c r="Z72" s="7">
        <f>100-(P$436-Tabell2[[#This Row],[Befvekst10-T]])*100/P$439</f>
        <v>10.95729020563229</v>
      </c>
      <c r="AA72" s="7">
        <f>100-(Q$436-Tabell2[[#This Row],[Kvinneandel-T]])*100/Q$439</f>
        <v>24.504564637589894</v>
      </c>
      <c r="AB72" s="7">
        <f>(R$436-Tabell2[[#This Row],[Eldreandel-T]])*100/R$439</f>
        <v>36.379243429965321</v>
      </c>
      <c r="AC72" s="7">
        <f>100-(S$436-Tabell2[[#This Row],[Sysselsettingsvekst10-T]])*100/S$439</f>
        <v>0</v>
      </c>
      <c r="AD72" s="7">
        <f>100-(T$436-Tabell2[[#This Row],[Yrkesaktivandel-T]])*100/T$439</f>
        <v>82.939712957990778</v>
      </c>
      <c r="AE72" s="7">
        <f>100-(U$436-Tabell2[[#This Row],[Inntekt-T]])*100/U$439</f>
        <v>11.951247037580416</v>
      </c>
      <c r="AF72" s="7">
        <v>2</v>
      </c>
      <c r="AG72" s="7">
        <v>1.2500182815219201</v>
      </c>
      <c r="AH72" s="7">
        <v>0</v>
      </c>
      <c r="AI72" s="7">
        <v>2.1914580411264581</v>
      </c>
      <c r="AJ72" s="7">
        <v>1.2252282318794947</v>
      </c>
      <c r="AK72" s="7">
        <v>1.8189621714982662</v>
      </c>
      <c r="AL72" s="7">
        <v>0</v>
      </c>
      <c r="AM72" s="7">
        <v>8.2939712957990785</v>
      </c>
      <c r="AN72" s="7">
        <v>1.1951247037580417</v>
      </c>
      <c r="AO7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17.974762725583258</v>
      </c>
    </row>
    <row r="73" spans="1:41" x14ac:dyDescent="0.3">
      <c r="A73" s="2" t="s">
        <v>70</v>
      </c>
      <c r="B73">
        <f>'Rådata-K'!N72</f>
        <v>10</v>
      </c>
      <c r="C73" s="7">
        <f>'Rådata-K'!M72</f>
        <v>237.7</v>
      </c>
      <c r="D73" s="24">
        <f>'Rådata-K'!O72</f>
        <v>2.9258398613739631</v>
      </c>
      <c r="E73" s="24">
        <f>'Rådata-K'!P72</f>
        <v>2.7548872180451127</v>
      </c>
      <c r="F73" s="24">
        <f>'Rådata-K'!Q72</f>
        <v>-2.7084439723844889E-2</v>
      </c>
      <c r="G73" s="24">
        <f>'Rådata-K'!R72</f>
        <v>0.10125545851528384</v>
      </c>
      <c r="H73" s="24">
        <f>'Rådata-K'!S72</f>
        <v>0.20742358078602621</v>
      </c>
      <c r="I73" s="24">
        <f>'Rådata-K'!T72</f>
        <v>6.0524546065905405E-3</v>
      </c>
      <c r="J73" s="24">
        <f>'Rådata-K'!U72</f>
        <v>0.90817356205852673</v>
      </c>
      <c r="K73" s="24">
        <f>'Rådata-K'!L72</f>
        <v>344200</v>
      </c>
      <c r="L73" s="24">
        <f>Tabell2[[#This Row],[NIBR11]]</f>
        <v>10</v>
      </c>
      <c r="M73" s="24">
        <f>IF(Tabell2[[#This Row],[ReisetidOslo]]&lt;=C$434,C$434,IF(Tabell2[[#This Row],[ReisetidOslo]]&gt;=C$435,C$435,Tabell2[[#This Row],[ReisetidOslo]]))</f>
        <v>237.7</v>
      </c>
      <c r="N73" s="24">
        <f>IF(Tabell2[[#This Row],[Beftettland]]&lt;=D$434,D$434,IF(Tabell2[[#This Row],[Beftettland]]&gt;=D$435,D$435,Tabell2[[#This Row],[Beftettland]]))</f>
        <v>2.9258398613739631</v>
      </c>
      <c r="O73" s="24">
        <f>IF(Tabell2[[#This Row],[Beftettotal]]&lt;=E$434,E$434,IF(Tabell2[[#This Row],[Beftettotal]]&gt;=E$435,E$435,Tabell2[[#This Row],[Beftettotal]]))</f>
        <v>2.7548872180451127</v>
      </c>
      <c r="P73" s="24">
        <f>IF(Tabell2[[#This Row],[Befvekst10]]&lt;=F$434,F$434,IF(Tabell2[[#This Row],[Befvekst10]]&gt;=F$435,F$435,Tabell2[[#This Row],[Befvekst10]]))</f>
        <v>-2.7084439723844889E-2</v>
      </c>
      <c r="Q73" s="24">
        <f>IF(Tabell2[[#This Row],[Kvinneandel]]&lt;=G$434,G$434,IF(Tabell2[[#This Row],[Kvinneandel]]&gt;=G$435,G$435,Tabell2[[#This Row],[Kvinneandel]]))</f>
        <v>0.10125545851528384</v>
      </c>
      <c r="R73" s="24">
        <f>IF(Tabell2[[#This Row],[Eldreandel]]&lt;=H$434,H$434,IF(Tabell2[[#This Row],[Eldreandel]]&gt;=H$435,H$435,Tabell2[[#This Row],[Eldreandel]]))</f>
        <v>0.20742358078602621</v>
      </c>
      <c r="S73" s="24">
        <f>IF(Tabell2[[#This Row],[Sysselsettingsvekst10]]&lt;=I$434,I$434,IF(Tabell2[[#This Row],[Sysselsettingsvekst10]]&gt;=I$435,I$435,Tabell2[[#This Row],[Sysselsettingsvekst10]]))</f>
        <v>6.0524546065905405E-3</v>
      </c>
      <c r="T73" s="24">
        <f>IF(Tabell2[[#This Row],[Yrkesaktivandel]]&lt;=J$434,J$434,IF(Tabell2[[#This Row],[Yrkesaktivandel]]&gt;=J$435,J$435,Tabell2[[#This Row],[Yrkesaktivandel]]))</f>
        <v>0.90817356205852673</v>
      </c>
      <c r="U73" s="24">
        <f>IF(Tabell2[[#This Row],[Inntekt]]&lt;=K$434,K$434,IF(Tabell2[[#This Row],[Inntekt]]&gt;=K$435,K$435,Tabell2[[#This Row],[Inntekt]]))</f>
        <v>344410</v>
      </c>
      <c r="V73" s="7">
        <f>IF(Tabell2[[#This Row],[NIBR11-T]]&lt;=L$437,100,IF(Tabell2[[#This Row],[NIBR11-T]]&gt;=L$436,0,100*(L$436-Tabell2[[#This Row],[NIBR11-T]])/L$439))</f>
        <v>10</v>
      </c>
      <c r="W73" s="7">
        <f>(M$436-Tabell2[[#This Row],[ReisetidOslo-T]])*100/M$439</f>
        <v>18.759780621580539</v>
      </c>
      <c r="X73" s="7">
        <f>100-(N$436-Tabell2[[#This Row],[Beftettland-T]])*100/N$439</f>
        <v>1.1267888533037649</v>
      </c>
      <c r="Y73" s="7">
        <f>100-(O$436-Tabell2[[#This Row],[Beftettotal-T]])*100/O$439</f>
        <v>1.0998004564350481</v>
      </c>
      <c r="Z73" s="7">
        <f>100-(P$436-Tabell2[[#This Row],[Befvekst10-T]])*100/P$439</f>
        <v>17.800752731229579</v>
      </c>
      <c r="AA73" s="7">
        <f>100-(Q$436-Tabell2[[#This Row],[Kvinneandel-T]])*100/Q$439</f>
        <v>30.82489565657967</v>
      </c>
      <c r="AB73" s="7">
        <f>(R$436-Tabell2[[#This Row],[Eldreandel-T]])*100/R$439</f>
        <v>13.928193460278255</v>
      </c>
      <c r="AC73" s="7">
        <f>100-(S$436-Tabell2[[#This Row],[Sysselsettingsvekst10-T]])*100/S$439</f>
        <v>32.185634093746842</v>
      </c>
      <c r="AD73" s="7">
        <f>100-(T$436-Tabell2[[#This Row],[Yrkesaktivandel-T]])*100/T$439</f>
        <v>77.081065288666821</v>
      </c>
      <c r="AE73" s="7">
        <f>100-(U$436-Tabell2[[#This Row],[Inntekt-T]])*100/U$439</f>
        <v>0</v>
      </c>
      <c r="AF73" s="7">
        <v>2</v>
      </c>
      <c r="AG73" s="7">
        <v>1.875978062158054</v>
      </c>
      <c r="AH73" s="7">
        <v>0.10998004564350482</v>
      </c>
      <c r="AI73" s="7">
        <v>3.5601505462459162</v>
      </c>
      <c r="AJ73" s="7">
        <v>1.5412447828289837</v>
      </c>
      <c r="AK73" s="7">
        <v>0.69640967301391277</v>
      </c>
      <c r="AL73" s="7">
        <v>3.2185634093746844</v>
      </c>
      <c r="AM73" s="7">
        <v>7.7081065288666828</v>
      </c>
      <c r="AN73" s="7">
        <v>0</v>
      </c>
      <c r="AO7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20.71043304813174</v>
      </c>
    </row>
    <row r="74" spans="1:41" x14ac:dyDescent="0.3">
      <c r="A74" s="2" t="s">
        <v>71</v>
      </c>
      <c r="B74">
        <f>'Rådata-K'!N73</f>
        <v>8</v>
      </c>
      <c r="C74" s="7">
        <f>'Rådata-K'!M73</f>
        <v>187.43333333300001</v>
      </c>
      <c r="D74" s="24">
        <f>'Rådata-K'!O73</f>
        <v>5.2557858503002786</v>
      </c>
      <c r="E74" s="24">
        <f>'Rådata-K'!P73</f>
        <v>5.0294354697410375</v>
      </c>
      <c r="F74" s="24">
        <f>'Rådata-K'!Q73</f>
        <v>-1.7456785897655314E-2</v>
      </c>
      <c r="G74" s="24">
        <f>'Rådata-K'!R73</f>
        <v>9.4931196655634903E-2</v>
      </c>
      <c r="H74" s="24">
        <f>'Rådata-K'!S73</f>
        <v>0.20048771990942343</v>
      </c>
      <c r="I74" s="24">
        <f>'Rådata-K'!T73</f>
        <v>1.7633228840125303E-2</v>
      </c>
      <c r="J74" s="24">
        <f>'Rådata-K'!U73</f>
        <v>0.88622754491017963</v>
      </c>
      <c r="K74" s="24">
        <f>'Rådata-K'!L73</f>
        <v>384700</v>
      </c>
      <c r="L74" s="24">
        <f>Tabell2[[#This Row],[NIBR11]]</f>
        <v>8</v>
      </c>
      <c r="M74" s="24">
        <f>IF(Tabell2[[#This Row],[ReisetidOslo]]&lt;=C$434,C$434,IF(Tabell2[[#This Row],[ReisetidOslo]]&gt;=C$435,C$435,Tabell2[[#This Row],[ReisetidOslo]]))</f>
        <v>187.43333333300001</v>
      </c>
      <c r="N74" s="24">
        <f>IF(Tabell2[[#This Row],[Beftettland]]&lt;=D$434,D$434,IF(Tabell2[[#This Row],[Beftettland]]&gt;=D$435,D$435,Tabell2[[#This Row],[Beftettland]]))</f>
        <v>5.2557858503002786</v>
      </c>
      <c r="O74" s="24">
        <f>IF(Tabell2[[#This Row],[Beftettotal]]&lt;=E$434,E$434,IF(Tabell2[[#This Row],[Beftettotal]]&gt;=E$435,E$435,Tabell2[[#This Row],[Beftettotal]]))</f>
        <v>5.0294354697410375</v>
      </c>
      <c r="P74" s="24">
        <f>IF(Tabell2[[#This Row],[Befvekst10]]&lt;=F$434,F$434,IF(Tabell2[[#This Row],[Befvekst10]]&gt;=F$435,F$435,Tabell2[[#This Row],[Befvekst10]]))</f>
        <v>-1.7456785897655314E-2</v>
      </c>
      <c r="Q74" s="24">
        <f>IF(Tabell2[[#This Row],[Kvinneandel]]&lt;=G$434,G$434,IF(Tabell2[[#This Row],[Kvinneandel]]&gt;=G$435,G$435,Tabell2[[#This Row],[Kvinneandel]]))</f>
        <v>9.4931196655634903E-2</v>
      </c>
      <c r="R74" s="24">
        <f>IF(Tabell2[[#This Row],[Eldreandel]]&lt;=H$434,H$434,IF(Tabell2[[#This Row],[Eldreandel]]&gt;=H$435,H$435,Tabell2[[#This Row],[Eldreandel]]))</f>
        <v>0.20048771990942343</v>
      </c>
      <c r="S74" s="24">
        <f>IF(Tabell2[[#This Row],[Sysselsettingsvekst10]]&lt;=I$434,I$434,IF(Tabell2[[#This Row],[Sysselsettingsvekst10]]&gt;=I$435,I$435,Tabell2[[#This Row],[Sysselsettingsvekst10]]))</f>
        <v>1.7633228840125303E-2</v>
      </c>
      <c r="T74" s="24">
        <f>IF(Tabell2[[#This Row],[Yrkesaktivandel]]&lt;=J$434,J$434,IF(Tabell2[[#This Row],[Yrkesaktivandel]]&gt;=J$435,J$435,Tabell2[[#This Row],[Yrkesaktivandel]]))</f>
        <v>0.88622754491017963</v>
      </c>
      <c r="U74" s="24">
        <f>IF(Tabell2[[#This Row],[Inntekt]]&lt;=K$434,K$434,IF(Tabell2[[#This Row],[Inntekt]]&gt;=K$435,K$435,Tabell2[[#This Row],[Inntekt]]))</f>
        <v>384700</v>
      </c>
      <c r="V74" s="7">
        <f>IF(Tabell2[[#This Row],[NIBR11-T]]&lt;=L$437,100,IF(Tabell2[[#This Row],[NIBR11-T]]&gt;=L$436,0,100*(L$436-Tabell2[[#This Row],[NIBR11-T]])/L$439))</f>
        <v>30</v>
      </c>
      <c r="W74" s="7">
        <f>(M$436-Tabell2[[#This Row],[ReisetidOslo-T]])*100/M$439</f>
        <v>40.81462522867151</v>
      </c>
      <c r="X74" s="7">
        <f>100-(N$436-Tabell2[[#This Row],[Beftettland-T]])*100/N$439</f>
        <v>2.8502586244342325</v>
      </c>
      <c r="Y74" s="7">
        <f>100-(O$436-Tabell2[[#This Row],[Beftettotal-T]])*100/O$439</f>
        <v>2.8408274072904192</v>
      </c>
      <c r="Z74" s="7">
        <f>100-(P$436-Tabell2[[#This Row],[Befvekst10-T]])*100/P$439</f>
        <v>21.697652019607645</v>
      </c>
      <c r="AA74" s="7">
        <f>100-(Q$436-Tabell2[[#This Row],[Kvinneandel-T]])*100/Q$439</f>
        <v>14.210722850418776</v>
      </c>
      <c r="AB74" s="7">
        <f>(R$436-Tabell2[[#This Row],[Eldreandel-T]])*100/R$439</f>
        <v>21.413754838261656</v>
      </c>
      <c r="AC74" s="7">
        <f>100-(S$436-Tabell2[[#This Row],[Sysselsettingsvekst10-T]])*100/S$439</f>
        <v>35.96503482960054</v>
      </c>
      <c r="AD74" s="7">
        <f>100-(T$436-Tabell2[[#This Row],[Yrkesaktivandel-T]])*100/T$439</f>
        <v>61.602674966920077</v>
      </c>
      <c r="AE74" s="7">
        <f>100-(U$436-Tabell2[[#This Row],[Inntekt-T]])*100/U$439</f>
        <v>45.468908701049543</v>
      </c>
      <c r="AF74" s="7">
        <v>6</v>
      </c>
      <c r="AG74" s="7">
        <v>4.0814625228671515</v>
      </c>
      <c r="AH74" s="7">
        <v>0.28408274072904194</v>
      </c>
      <c r="AI74" s="7">
        <v>4.339530403921529</v>
      </c>
      <c r="AJ74" s="7">
        <v>0.71053614252093888</v>
      </c>
      <c r="AK74" s="7">
        <v>1.0706877419130829</v>
      </c>
      <c r="AL74" s="7">
        <v>3.5965034829600544</v>
      </c>
      <c r="AM74" s="7">
        <v>6.1602674966920077</v>
      </c>
      <c r="AN74" s="7">
        <v>4.5468908701049546</v>
      </c>
      <c r="AO7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30.789961401708759</v>
      </c>
    </row>
    <row r="75" spans="1:41" x14ac:dyDescent="0.3">
      <c r="A75" s="2" t="s">
        <v>72</v>
      </c>
      <c r="B75">
        <f>'Rådata-K'!N74</f>
        <v>10</v>
      </c>
      <c r="C75" s="7">
        <f>'Rådata-K'!M74</f>
        <v>213.8</v>
      </c>
      <c r="D75" s="24">
        <f>'Rådata-K'!O74</f>
        <v>6.6807749023492464</v>
      </c>
      <c r="E75" s="24">
        <f>'Rådata-K'!P74</f>
        <v>6.5585183384350172</v>
      </c>
      <c r="F75" s="24">
        <f>'Rådata-K'!Q74</f>
        <v>-2.4330100279467359E-2</v>
      </c>
      <c r="G75" s="24">
        <f>'Rådata-K'!R74</f>
        <v>9.1491154170176919E-2</v>
      </c>
      <c r="H75" s="24">
        <f>'Rådata-K'!S74</f>
        <v>0.19477674810446505</v>
      </c>
      <c r="I75" s="24">
        <f>'Rådata-K'!T74</f>
        <v>-1.4715719063545185E-2</v>
      </c>
      <c r="J75" s="24">
        <f>'Rådata-K'!U74</f>
        <v>0.84098510185466713</v>
      </c>
      <c r="K75" s="24">
        <f>'Rådata-K'!L74</f>
        <v>329700</v>
      </c>
      <c r="L75" s="24">
        <f>Tabell2[[#This Row],[NIBR11]]</f>
        <v>10</v>
      </c>
      <c r="M75" s="24">
        <f>IF(Tabell2[[#This Row],[ReisetidOslo]]&lt;=C$434,C$434,IF(Tabell2[[#This Row],[ReisetidOslo]]&gt;=C$435,C$435,Tabell2[[#This Row],[ReisetidOslo]]))</f>
        <v>213.8</v>
      </c>
      <c r="N75" s="24">
        <f>IF(Tabell2[[#This Row],[Beftettland]]&lt;=D$434,D$434,IF(Tabell2[[#This Row],[Beftettland]]&gt;=D$435,D$435,Tabell2[[#This Row],[Beftettland]]))</f>
        <v>6.6807749023492464</v>
      </c>
      <c r="O75" s="24">
        <f>IF(Tabell2[[#This Row],[Beftettotal]]&lt;=E$434,E$434,IF(Tabell2[[#This Row],[Beftettotal]]&gt;=E$435,E$435,Tabell2[[#This Row],[Beftettotal]]))</f>
        <v>6.5585183384350172</v>
      </c>
      <c r="P75" s="24">
        <f>IF(Tabell2[[#This Row],[Befvekst10]]&lt;=F$434,F$434,IF(Tabell2[[#This Row],[Befvekst10]]&gt;=F$435,F$435,Tabell2[[#This Row],[Befvekst10]]))</f>
        <v>-2.4330100279467359E-2</v>
      </c>
      <c r="Q75" s="24">
        <f>IF(Tabell2[[#This Row],[Kvinneandel]]&lt;=G$434,G$434,IF(Tabell2[[#This Row],[Kvinneandel]]&gt;=G$435,G$435,Tabell2[[#This Row],[Kvinneandel]]))</f>
        <v>9.1491154170176919E-2</v>
      </c>
      <c r="R75" s="24">
        <f>IF(Tabell2[[#This Row],[Eldreandel]]&lt;=H$434,H$434,IF(Tabell2[[#This Row],[Eldreandel]]&gt;=H$435,H$435,Tabell2[[#This Row],[Eldreandel]]))</f>
        <v>0.19477674810446505</v>
      </c>
      <c r="S75" s="24">
        <f>IF(Tabell2[[#This Row],[Sysselsettingsvekst10]]&lt;=I$434,I$434,IF(Tabell2[[#This Row],[Sysselsettingsvekst10]]&gt;=I$435,I$435,Tabell2[[#This Row],[Sysselsettingsvekst10]]))</f>
        <v>-1.4715719063545185E-2</v>
      </c>
      <c r="T75" s="24">
        <f>IF(Tabell2[[#This Row],[Yrkesaktivandel]]&lt;=J$434,J$434,IF(Tabell2[[#This Row],[Yrkesaktivandel]]&gt;=J$435,J$435,Tabell2[[#This Row],[Yrkesaktivandel]]))</f>
        <v>0.84098510185466713</v>
      </c>
      <c r="U75" s="24">
        <f>IF(Tabell2[[#This Row],[Inntekt]]&lt;=K$434,K$434,IF(Tabell2[[#This Row],[Inntekt]]&gt;=K$435,K$435,Tabell2[[#This Row],[Inntekt]]))</f>
        <v>344410</v>
      </c>
      <c r="V75" s="7">
        <f>IF(Tabell2[[#This Row],[NIBR11-T]]&lt;=L$437,100,IF(Tabell2[[#This Row],[NIBR11-T]]&gt;=L$436,0,100*(L$436-Tabell2[[#This Row],[NIBR11-T]])/L$439))</f>
        <v>10</v>
      </c>
      <c r="W75" s="7">
        <f>(M$436-Tabell2[[#This Row],[ReisetidOslo-T]])*100/M$439</f>
        <v>29.246069469842706</v>
      </c>
      <c r="X75" s="7">
        <f>100-(N$436-Tabell2[[#This Row],[Beftettland-T]])*100/N$439</f>
        <v>3.9043283612739543</v>
      </c>
      <c r="Y75" s="7">
        <f>100-(O$436-Tabell2[[#This Row],[Beftettotal-T]])*100/O$439</f>
        <v>4.0112464047781913</v>
      </c>
      <c r="Z75" s="7">
        <f>100-(P$436-Tabell2[[#This Row],[Befvekst10-T]])*100/P$439</f>
        <v>18.915602061556442</v>
      </c>
      <c r="AA75" s="7">
        <f>100-(Q$436-Tabell2[[#This Row],[Kvinneandel-T]])*100/Q$439</f>
        <v>5.173547986013844</v>
      </c>
      <c r="AB75" s="7">
        <f>(R$436-Tabell2[[#This Row],[Eldreandel-T]])*100/R$439</f>
        <v>27.577348764743029</v>
      </c>
      <c r="AC75" s="7">
        <f>100-(S$436-Tabell2[[#This Row],[Sysselsettingsvekst10-T]])*100/S$439</f>
        <v>25.407913600417558</v>
      </c>
      <c r="AD75" s="7">
        <f>100-(T$436-Tabell2[[#This Row],[Yrkesaktivandel-T]])*100/T$439</f>
        <v>29.693459368072084</v>
      </c>
      <c r="AE75" s="7">
        <f>100-(U$436-Tabell2[[#This Row],[Inntekt-T]])*100/U$439</f>
        <v>0</v>
      </c>
      <c r="AF75" s="7">
        <v>2</v>
      </c>
      <c r="AG75" s="7">
        <v>2.9246069469842708</v>
      </c>
      <c r="AH75" s="7">
        <v>0.40112464047781915</v>
      </c>
      <c r="AI75" s="7">
        <v>3.7831204123112885</v>
      </c>
      <c r="AJ75" s="7">
        <v>0.25867739930069222</v>
      </c>
      <c r="AK75" s="7">
        <v>1.3788674382371515</v>
      </c>
      <c r="AL75" s="7">
        <v>2.540791360041756</v>
      </c>
      <c r="AM75" s="7">
        <v>2.9693459368072084</v>
      </c>
      <c r="AN75" s="7">
        <v>0</v>
      </c>
      <c r="AO7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16.256534134160187</v>
      </c>
    </row>
    <row r="76" spans="1:41" x14ac:dyDescent="0.3">
      <c r="A76" s="2" t="s">
        <v>73</v>
      </c>
      <c r="B76">
        <f>'Rådata-K'!N75</f>
        <v>5</v>
      </c>
      <c r="C76" s="7">
        <f>'Rådata-K'!M75</f>
        <v>175.9</v>
      </c>
      <c r="D76" s="24">
        <f>'Rådata-K'!O75</f>
        <v>4.4322653175941538</v>
      </c>
      <c r="E76" s="24">
        <f>'Rådata-K'!P75</f>
        <v>4.2496429437602732</v>
      </c>
      <c r="F76" s="24">
        <f>'Rådata-K'!Q75</f>
        <v>-2.3831631073970905E-2</v>
      </c>
      <c r="G76" s="24">
        <f>'Rådata-K'!R75</f>
        <v>9.448319594166138E-2</v>
      </c>
      <c r="H76" s="24">
        <f>'Rådata-K'!S75</f>
        <v>0.19435637285986049</v>
      </c>
      <c r="I76" s="24">
        <f>'Rådata-K'!T75</f>
        <v>-8.7749782797567288E-2</v>
      </c>
      <c r="J76" s="24">
        <f>'Rådata-K'!U75</f>
        <v>0.89512893982808028</v>
      </c>
      <c r="K76" s="24">
        <f>'Rådata-K'!L75</f>
        <v>369500</v>
      </c>
      <c r="L76" s="24">
        <f>Tabell2[[#This Row],[NIBR11]]</f>
        <v>5</v>
      </c>
      <c r="M76" s="24">
        <f>IF(Tabell2[[#This Row],[ReisetidOslo]]&lt;=C$434,C$434,IF(Tabell2[[#This Row],[ReisetidOslo]]&gt;=C$435,C$435,Tabell2[[#This Row],[ReisetidOslo]]))</f>
        <v>175.9</v>
      </c>
      <c r="N76" s="24">
        <f>IF(Tabell2[[#This Row],[Beftettland]]&lt;=D$434,D$434,IF(Tabell2[[#This Row],[Beftettland]]&gt;=D$435,D$435,Tabell2[[#This Row],[Beftettland]]))</f>
        <v>4.4322653175941538</v>
      </c>
      <c r="O76" s="24">
        <f>IF(Tabell2[[#This Row],[Beftettotal]]&lt;=E$434,E$434,IF(Tabell2[[#This Row],[Beftettotal]]&gt;=E$435,E$435,Tabell2[[#This Row],[Beftettotal]]))</f>
        <v>4.2496429437602732</v>
      </c>
      <c r="P76" s="24">
        <f>IF(Tabell2[[#This Row],[Befvekst10]]&lt;=F$434,F$434,IF(Tabell2[[#This Row],[Befvekst10]]&gt;=F$435,F$435,Tabell2[[#This Row],[Befvekst10]]))</f>
        <v>-2.3831631073970905E-2</v>
      </c>
      <c r="Q76" s="24">
        <f>IF(Tabell2[[#This Row],[Kvinneandel]]&lt;=G$434,G$434,IF(Tabell2[[#This Row],[Kvinneandel]]&gt;=G$435,G$435,Tabell2[[#This Row],[Kvinneandel]]))</f>
        <v>9.448319594166138E-2</v>
      </c>
      <c r="R76" s="24">
        <f>IF(Tabell2[[#This Row],[Eldreandel]]&lt;=H$434,H$434,IF(Tabell2[[#This Row],[Eldreandel]]&gt;=H$435,H$435,Tabell2[[#This Row],[Eldreandel]]))</f>
        <v>0.19435637285986049</v>
      </c>
      <c r="S76" s="24">
        <f>IF(Tabell2[[#This Row],[Sysselsettingsvekst10]]&lt;=I$434,I$434,IF(Tabell2[[#This Row],[Sysselsettingsvekst10]]&gt;=I$435,I$435,Tabell2[[#This Row],[Sysselsettingsvekst10]]))</f>
        <v>-8.7749782797567288E-2</v>
      </c>
      <c r="T76" s="24">
        <f>IF(Tabell2[[#This Row],[Yrkesaktivandel]]&lt;=J$434,J$434,IF(Tabell2[[#This Row],[Yrkesaktivandel]]&gt;=J$435,J$435,Tabell2[[#This Row],[Yrkesaktivandel]]))</f>
        <v>0.89512893982808028</v>
      </c>
      <c r="U76" s="24">
        <f>IF(Tabell2[[#This Row],[Inntekt]]&lt;=K$434,K$434,IF(Tabell2[[#This Row],[Inntekt]]&gt;=K$435,K$435,Tabell2[[#This Row],[Inntekt]]))</f>
        <v>369500</v>
      </c>
      <c r="V76" s="7">
        <f>IF(Tabell2[[#This Row],[NIBR11-T]]&lt;=L$437,100,IF(Tabell2[[#This Row],[NIBR11-T]]&gt;=L$436,0,100*(L$436-Tabell2[[#This Row],[NIBR11-T]])/L$439))</f>
        <v>60</v>
      </c>
      <c r="W76" s="7">
        <f>(M$436-Tabell2[[#This Row],[ReisetidOslo-T]])*100/M$439</f>
        <v>45.874954296166415</v>
      </c>
      <c r="X76" s="7">
        <f>100-(N$436-Tabell2[[#This Row],[Beftettland-T]])*100/N$439</f>
        <v>2.2410974031999729</v>
      </c>
      <c r="Y76" s="7">
        <f>100-(O$436-Tabell2[[#This Row],[Beftettotal-T]])*100/O$439</f>
        <v>2.2439441348446536</v>
      </c>
      <c r="Z76" s="7">
        <f>100-(P$436-Tabell2[[#This Row],[Befvekst10-T]])*100/P$439</f>
        <v>19.117362981428073</v>
      </c>
      <c r="AA76" s="7">
        <f>100-(Q$436-Tabell2[[#This Row],[Kvinneandel-T]])*100/Q$439</f>
        <v>13.03380110928569</v>
      </c>
      <c r="AB76" s="7">
        <f>(R$436-Tabell2[[#This Row],[Eldreandel-T]])*100/R$439</f>
        <v>28.031040779513301</v>
      </c>
      <c r="AC76" s="7">
        <f>100-(S$436-Tabell2[[#This Row],[Sysselsettingsvekst10-T]])*100/S$439</f>
        <v>1.5731518951547088</v>
      </c>
      <c r="AD76" s="7">
        <f>100-(T$436-Tabell2[[#This Row],[Yrkesaktivandel-T]])*100/T$439</f>
        <v>67.880773813555507</v>
      </c>
      <c r="AE76" s="7">
        <f>100-(U$436-Tabell2[[#This Row],[Inntekt-T]])*100/U$439</f>
        <v>28.315088590452547</v>
      </c>
      <c r="AF76" s="7">
        <v>12</v>
      </c>
      <c r="AG76" s="7">
        <v>4.5874954296166415</v>
      </c>
      <c r="AH76" s="7">
        <v>0.22439441348446537</v>
      </c>
      <c r="AI76" s="7">
        <v>3.8234725962856149</v>
      </c>
      <c r="AJ76" s="7">
        <v>0.6516900554642846</v>
      </c>
      <c r="AK76" s="7">
        <v>1.401552038975665</v>
      </c>
      <c r="AL76" s="7">
        <v>0.15731518951547088</v>
      </c>
      <c r="AM76" s="7">
        <v>6.7880773813555511</v>
      </c>
      <c r="AN76" s="7">
        <v>2.8315088590452548</v>
      </c>
      <c r="AO7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32.465505963742956</v>
      </c>
    </row>
    <row r="77" spans="1:41" x14ac:dyDescent="0.3">
      <c r="A77" s="2" t="s">
        <v>74</v>
      </c>
      <c r="B77">
        <f>'Rådata-K'!N76</f>
        <v>5</v>
      </c>
      <c r="C77" s="7">
        <f>'Rådata-K'!M76</f>
        <v>166.45</v>
      </c>
      <c r="D77" s="24">
        <f>'Rådata-K'!O76</f>
        <v>3.6529456069685953</v>
      </c>
      <c r="E77" s="24">
        <f>'Rådata-K'!P76</f>
        <v>3.576552818679513</v>
      </c>
      <c r="F77" s="24">
        <f>'Rådata-K'!Q76</f>
        <v>-2.2777047744196199E-2</v>
      </c>
      <c r="G77" s="24">
        <f>'Rådata-K'!R76</f>
        <v>9.8834603316898251E-2</v>
      </c>
      <c r="H77" s="24">
        <f>'Rådata-K'!S76</f>
        <v>0.20663379650380995</v>
      </c>
      <c r="I77" s="24">
        <f>'Rådata-K'!T76</f>
        <v>-7.3418841220698861E-2</v>
      </c>
      <c r="J77" s="24">
        <f>'Rådata-K'!U76</f>
        <v>0.88145161290322582</v>
      </c>
      <c r="K77" s="24">
        <f>'Rådata-K'!L76</f>
        <v>351000</v>
      </c>
      <c r="L77" s="24">
        <f>Tabell2[[#This Row],[NIBR11]]</f>
        <v>5</v>
      </c>
      <c r="M77" s="24">
        <f>IF(Tabell2[[#This Row],[ReisetidOslo]]&lt;=C$434,C$434,IF(Tabell2[[#This Row],[ReisetidOslo]]&gt;=C$435,C$435,Tabell2[[#This Row],[ReisetidOslo]]))</f>
        <v>166.45</v>
      </c>
      <c r="N77" s="24">
        <f>IF(Tabell2[[#This Row],[Beftettland]]&lt;=D$434,D$434,IF(Tabell2[[#This Row],[Beftettland]]&gt;=D$435,D$435,Tabell2[[#This Row],[Beftettland]]))</f>
        <v>3.6529456069685953</v>
      </c>
      <c r="O77" s="24">
        <f>IF(Tabell2[[#This Row],[Beftettotal]]&lt;=E$434,E$434,IF(Tabell2[[#This Row],[Beftettotal]]&gt;=E$435,E$435,Tabell2[[#This Row],[Beftettotal]]))</f>
        <v>3.576552818679513</v>
      </c>
      <c r="P77" s="24">
        <f>IF(Tabell2[[#This Row],[Befvekst10]]&lt;=F$434,F$434,IF(Tabell2[[#This Row],[Befvekst10]]&gt;=F$435,F$435,Tabell2[[#This Row],[Befvekst10]]))</f>
        <v>-2.2777047744196199E-2</v>
      </c>
      <c r="Q77" s="24">
        <f>IF(Tabell2[[#This Row],[Kvinneandel]]&lt;=G$434,G$434,IF(Tabell2[[#This Row],[Kvinneandel]]&gt;=G$435,G$435,Tabell2[[#This Row],[Kvinneandel]]))</f>
        <v>9.8834603316898251E-2</v>
      </c>
      <c r="R77" s="24">
        <f>IF(Tabell2[[#This Row],[Eldreandel]]&lt;=H$434,H$434,IF(Tabell2[[#This Row],[Eldreandel]]&gt;=H$435,H$435,Tabell2[[#This Row],[Eldreandel]]))</f>
        <v>0.20663379650380995</v>
      </c>
      <c r="S77" s="24">
        <f>IF(Tabell2[[#This Row],[Sysselsettingsvekst10]]&lt;=I$434,I$434,IF(Tabell2[[#This Row],[Sysselsettingsvekst10]]&gt;=I$435,I$435,Tabell2[[#This Row],[Sysselsettingsvekst10]]))</f>
        <v>-7.3418841220698861E-2</v>
      </c>
      <c r="T77" s="24">
        <f>IF(Tabell2[[#This Row],[Yrkesaktivandel]]&lt;=J$434,J$434,IF(Tabell2[[#This Row],[Yrkesaktivandel]]&gt;=J$435,J$435,Tabell2[[#This Row],[Yrkesaktivandel]]))</f>
        <v>0.88145161290322582</v>
      </c>
      <c r="U77" s="24">
        <f>IF(Tabell2[[#This Row],[Inntekt]]&lt;=K$434,K$434,IF(Tabell2[[#This Row],[Inntekt]]&gt;=K$435,K$435,Tabell2[[#This Row],[Inntekt]]))</f>
        <v>351000</v>
      </c>
      <c r="V77" s="7">
        <f>IF(Tabell2[[#This Row],[NIBR11-T]]&lt;=L$437,100,IF(Tabell2[[#This Row],[NIBR11-T]]&gt;=L$436,0,100*(L$436-Tabell2[[#This Row],[NIBR11-T]])/L$439))</f>
        <v>60</v>
      </c>
      <c r="W77" s="7">
        <f>(M$436-Tabell2[[#This Row],[ReisetidOslo-T]])*100/M$439</f>
        <v>50.021206581357951</v>
      </c>
      <c r="X77" s="7">
        <f>100-(N$436-Tabell2[[#This Row],[Beftettland-T]])*100/N$439</f>
        <v>1.6646316955428375</v>
      </c>
      <c r="Y77" s="7">
        <f>100-(O$436-Tabell2[[#This Row],[Beftettotal-T]])*100/O$439</f>
        <v>1.7287349950752713</v>
      </c>
      <c r="Z77" s="7">
        <f>100-(P$436-Tabell2[[#This Row],[Befvekst10-T]])*100/P$439</f>
        <v>19.544217239124308</v>
      </c>
      <c r="AA77" s="7">
        <f>100-(Q$436-Tabell2[[#This Row],[Kvinneandel-T]])*100/Q$439</f>
        <v>24.465180088618709</v>
      </c>
      <c r="AB77" s="7">
        <f>(R$436-Tabell2[[#This Row],[Eldreandel-T]])*100/R$439</f>
        <v>14.780571964558771</v>
      </c>
      <c r="AC77" s="7">
        <f>100-(S$436-Tabell2[[#This Row],[Sysselsettingsvekst10-T]])*100/S$439</f>
        <v>6.2500733210342929</v>
      </c>
      <c r="AD77" s="7">
        <f>100-(T$436-Tabell2[[#This Row],[Yrkesaktivandel-T]])*100/T$439</f>
        <v>58.234239626053586</v>
      </c>
      <c r="AE77" s="7">
        <f>100-(U$436-Tabell2[[#This Row],[Inntekt-T]])*100/U$439</f>
        <v>7.4370838505812031</v>
      </c>
      <c r="AF77" s="7">
        <v>12</v>
      </c>
      <c r="AG77" s="7">
        <v>5.0021206581357953</v>
      </c>
      <c r="AH77" s="7">
        <v>0.17287349950752715</v>
      </c>
      <c r="AI77" s="7">
        <v>3.9088434478248617</v>
      </c>
      <c r="AJ77" s="7">
        <v>1.2232590044309355</v>
      </c>
      <c r="AK77" s="7">
        <v>0.73902859822793854</v>
      </c>
      <c r="AL77" s="7">
        <v>0.62500733210342929</v>
      </c>
      <c r="AM77" s="7">
        <v>5.823423962605359</v>
      </c>
      <c r="AN77" s="7">
        <v>0.74370838505812031</v>
      </c>
      <c r="AO7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30.238264887893969</v>
      </c>
    </row>
    <row r="78" spans="1:41" x14ac:dyDescent="0.3">
      <c r="A78" s="2" t="s">
        <v>75</v>
      </c>
      <c r="B78">
        <f>'Rådata-K'!N77</f>
        <v>4</v>
      </c>
      <c r="C78" s="7">
        <f>'Rådata-K'!M77</f>
        <v>145.1</v>
      </c>
      <c r="D78" s="24">
        <f>'Rådata-K'!O77</f>
        <v>8.2301588589416976</v>
      </c>
      <c r="E78" s="24">
        <f>'Rådata-K'!P77</f>
        <v>7.9262384747616821</v>
      </c>
      <c r="F78" s="24">
        <f>'Rådata-K'!Q77</f>
        <v>4.4911413267408218E-2</v>
      </c>
      <c r="G78" s="24">
        <f>'Rådata-K'!R77</f>
        <v>0.11080441640378549</v>
      </c>
      <c r="H78" s="24">
        <f>'Rådata-K'!S77</f>
        <v>0.16798107255520506</v>
      </c>
      <c r="I78" s="24">
        <f>'Rådata-K'!T77</f>
        <v>-5.7570523891767866E-3</v>
      </c>
      <c r="J78" s="24">
        <f>'Rådata-K'!U77</f>
        <v>0.87386478304742687</v>
      </c>
      <c r="K78" s="24">
        <f>'Rådata-K'!L77</f>
        <v>362500</v>
      </c>
      <c r="L78" s="24">
        <f>Tabell2[[#This Row],[NIBR11]]</f>
        <v>4</v>
      </c>
      <c r="M78" s="24">
        <f>IF(Tabell2[[#This Row],[ReisetidOslo]]&lt;=C$434,C$434,IF(Tabell2[[#This Row],[ReisetidOslo]]&gt;=C$435,C$435,Tabell2[[#This Row],[ReisetidOslo]]))</f>
        <v>145.1</v>
      </c>
      <c r="N78" s="24">
        <f>IF(Tabell2[[#This Row],[Beftettland]]&lt;=D$434,D$434,IF(Tabell2[[#This Row],[Beftettland]]&gt;=D$435,D$435,Tabell2[[#This Row],[Beftettland]]))</f>
        <v>8.2301588589416976</v>
      </c>
      <c r="O78" s="24">
        <f>IF(Tabell2[[#This Row],[Beftettotal]]&lt;=E$434,E$434,IF(Tabell2[[#This Row],[Beftettotal]]&gt;=E$435,E$435,Tabell2[[#This Row],[Beftettotal]]))</f>
        <v>7.9262384747616821</v>
      </c>
      <c r="P78" s="24">
        <f>IF(Tabell2[[#This Row],[Befvekst10]]&lt;=F$434,F$434,IF(Tabell2[[#This Row],[Befvekst10]]&gt;=F$435,F$435,Tabell2[[#This Row],[Befvekst10]]))</f>
        <v>4.4911413267408218E-2</v>
      </c>
      <c r="Q78" s="24">
        <f>IF(Tabell2[[#This Row],[Kvinneandel]]&lt;=G$434,G$434,IF(Tabell2[[#This Row],[Kvinneandel]]&gt;=G$435,G$435,Tabell2[[#This Row],[Kvinneandel]]))</f>
        <v>0.11080441640378549</v>
      </c>
      <c r="R78" s="24">
        <f>IF(Tabell2[[#This Row],[Eldreandel]]&lt;=H$434,H$434,IF(Tabell2[[#This Row],[Eldreandel]]&gt;=H$435,H$435,Tabell2[[#This Row],[Eldreandel]]))</f>
        <v>0.16798107255520506</v>
      </c>
      <c r="S78" s="24">
        <f>IF(Tabell2[[#This Row],[Sysselsettingsvekst10]]&lt;=I$434,I$434,IF(Tabell2[[#This Row],[Sysselsettingsvekst10]]&gt;=I$435,I$435,Tabell2[[#This Row],[Sysselsettingsvekst10]]))</f>
        <v>-5.7570523891767866E-3</v>
      </c>
      <c r="T78" s="24">
        <f>IF(Tabell2[[#This Row],[Yrkesaktivandel]]&lt;=J$434,J$434,IF(Tabell2[[#This Row],[Yrkesaktivandel]]&gt;=J$435,J$435,Tabell2[[#This Row],[Yrkesaktivandel]]))</f>
        <v>0.87386478304742687</v>
      </c>
      <c r="U78" s="24">
        <f>IF(Tabell2[[#This Row],[Inntekt]]&lt;=K$434,K$434,IF(Tabell2[[#This Row],[Inntekt]]&gt;=K$435,K$435,Tabell2[[#This Row],[Inntekt]]))</f>
        <v>362500</v>
      </c>
      <c r="V78" s="7">
        <f>IF(Tabell2[[#This Row],[NIBR11-T]]&lt;=L$437,100,IF(Tabell2[[#This Row],[NIBR11-T]]&gt;=L$436,0,100*(L$436-Tabell2[[#This Row],[NIBR11-T]])/L$439))</f>
        <v>70</v>
      </c>
      <c r="W78" s="7">
        <f>(M$436-Tabell2[[#This Row],[ReisetidOslo-T]])*100/M$439</f>
        <v>59.388665447901786</v>
      </c>
      <c r="X78" s="7">
        <f>100-(N$436-Tabell2[[#This Row],[Beftettland-T]])*100/N$439</f>
        <v>5.0504134747285292</v>
      </c>
      <c r="Y78" s="7">
        <f>100-(O$436-Tabell2[[#This Row],[Beftettotal-T]])*100/O$439</f>
        <v>5.0581521438834329</v>
      </c>
      <c r="Z78" s="7">
        <f>100-(P$436-Tabell2[[#This Row],[Befvekst10-T]])*100/P$439</f>
        <v>46.941869908146892</v>
      </c>
      <c r="AA78" s="7">
        <f>100-(Q$436-Tabell2[[#This Row],[Kvinneandel-T]])*100/Q$439</f>
        <v>55.910516713884597</v>
      </c>
      <c r="AB78" s="7">
        <f>(R$436-Tabell2[[#This Row],[Eldreandel-T]])*100/R$439</f>
        <v>56.496711127553318</v>
      </c>
      <c r="AC78" s="7">
        <f>100-(S$436-Tabell2[[#This Row],[Sysselsettingsvekst10-T]])*100/S$439</f>
        <v>28.33158612339372</v>
      </c>
      <c r="AD78" s="7">
        <f>100-(T$436-Tabell2[[#This Row],[Yrkesaktivandel-T]])*100/T$439</f>
        <v>52.883295396905282</v>
      </c>
      <c r="AE78" s="7">
        <f>100-(U$436-Tabell2[[#This Row],[Inntekt-T]])*100/U$439</f>
        <v>20.415303013203925</v>
      </c>
      <c r="AF78" s="7">
        <v>14</v>
      </c>
      <c r="AG78" s="7">
        <v>5.9388665447901792</v>
      </c>
      <c r="AH78" s="7">
        <v>0.50581521438834331</v>
      </c>
      <c r="AI78" s="7">
        <v>9.3883739816293783</v>
      </c>
      <c r="AJ78" s="7">
        <v>2.7955258356942299</v>
      </c>
      <c r="AK78" s="7">
        <v>2.8248355563776659</v>
      </c>
      <c r="AL78" s="7">
        <v>2.8331586123393722</v>
      </c>
      <c r="AM78" s="7">
        <v>5.2883295396905288</v>
      </c>
      <c r="AN78" s="7">
        <v>2.0415303013203925</v>
      </c>
      <c r="AO7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45.616435586230089</v>
      </c>
    </row>
    <row r="79" spans="1:41" x14ac:dyDescent="0.3">
      <c r="A79" s="2" t="s">
        <v>76</v>
      </c>
      <c r="B79">
        <f>'Rådata-K'!N78</f>
        <v>4</v>
      </c>
      <c r="C79" s="7">
        <f>'Rådata-K'!M78</f>
        <v>140.76666666700001</v>
      </c>
      <c r="D79" s="24">
        <f>'Rådata-K'!O78</f>
        <v>5.4319286094367447</v>
      </c>
      <c r="E79" s="24">
        <f>'Rådata-K'!P78</f>
        <v>5.2276772222035666</v>
      </c>
      <c r="F79" s="24">
        <f>'Rådata-K'!Q78</f>
        <v>4.0309577555626142E-3</v>
      </c>
      <c r="G79" s="24">
        <f>'Rådata-K'!R78</f>
        <v>0.1003693592420106</v>
      </c>
      <c r="H79" s="24">
        <f>'Rådata-K'!S78</f>
        <v>0.19270916974466035</v>
      </c>
      <c r="I79" s="24">
        <f>'Rådata-K'!T78</f>
        <v>4.8350655219159488E-2</v>
      </c>
      <c r="J79" s="24">
        <f>'Rådata-K'!U78</f>
        <v>0.93662173788356751</v>
      </c>
      <c r="K79" s="24">
        <f>'Rådata-K'!L78</f>
        <v>363500</v>
      </c>
      <c r="L79" s="24">
        <f>Tabell2[[#This Row],[NIBR11]]</f>
        <v>4</v>
      </c>
      <c r="M79" s="24">
        <f>IF(Tabell2[[#This Row],[ReisetidOslo]]&lt;=C$434,C$434,IF(Tabell2[[#This Row],[ReisetidOslo]]&gt;=C$435,C$435,Tabell2[[#This Row],[ReisetidOslo]]))</f>
        <v>140.76666666700001</v>
      </c>
      <c r="N79" s="24">
        <f>IF(Tabell2[[#This Row],[Beftettland]]&lt;=D$434,D$434,IF(Tabell2[[#This Row],[Beftettland]]&gt;=D$435,D$435,Tabell2[[#This Row],[Beftettland]]))</f>
        <v>5.4319286094367447</v>
      </c>
      <c r="O79" s="24">
        <f>IF(Tabell2[[#This Row],[Beftettotal]]&lt;=E$434,E$434,IF(Tabell2[[#This Row],[Beftettotal]]&gt;=E$435,E$435,Tabell2[[#This Row],[Beftettotal]]))</f>
        <v>5.2276772222035666</v>
      </c>
      <c r="P79" s="24">
        <f>IF(Tabell2[[#This Row],[Befvekst10]]&lt;=F$434,F$434,IF(Tabell2[[#This Row],[Befvekst10]]&gt;=F$435,F$435,Tabell2[[#This Row],[Befvekst10]]))</f>
        <v>4.0309577555626142E-3</v>
      </c>
      <c r="Q79" s="24">
        <f>IF(Tabell2[[#This Row],[Kvinneandel]]&lt;=G$434,G$434,IF(Tabell2[[#This Row],[Kvinneandel]]&gt;=G$435,G$435,Tabell2[[#This Row],[Kvinneandel]]))</f>
        <v>0.1003693592420106</v>
      </c>
      <c r="R79" s="24">
        <f>IF(Tabell2[[#This Row],[Eldreandel]]&lt;=H$434,H$434,IF(Tabell2[[#This Row],[Eldreandel]]&gt;=H$435,H$435,Tabell2[[#This Row],[Eldreandel]]))</f>
        <v>0.19270916974466035</v>
      </c>
      <c r="S79" s="24">
        <f>IF(Tabell2[[#This Row],[Sysselsettingsvekst10]]&lt;=I$434,I$434,IF(Tabell2[[#This Row],[Sysselsettingsvekst10]]&gt;=I$435,I$435,Tabell2[[#This Row],[Sysselsettingsvekst10]]))</f>
        <v>4.8350655219159488E-2</v>
      </c>
      <c r="T79" s="24">
        <f>IF(Tabell2[[#This Row],[Yrkesaktivandel]]&lt;=J$434,J$434,IF(Tabell2[[#This Row],[Yrkesaktivandel]]&gt;=J$435,J$435,Tabell2[[#This Row],[Yrkesaktivandel]]))</f>
        <v>0.93662173788356751</v>
      </c>
      <c r="U79" s="24">
        <f>IF(Tabell2[[#This Row],[Inntekt]]&lt;=K$434,K$434,IF(Tabell2[[#This Row],[Inntekt]]&gt;=K$435,K$435,Tabell2[[#This Row],[Inntekt]]))</f>
        <v>363500</v>
      </c>
      <c r="V79" s="7">
        <f>IF(Tabell2[[#This Row],[NIBR11-T]]&lt;=L$437,100,IF(Tabell2[[#This Row],[NIBR11-T]]&gt;=L$436,0,100*(L$436-Tabell2[[#This Row],[NIBR11-T]])/L$439))</f>
        <v>70</v>
      </c>
      <c r="W79" s="7">
        <f>(M$436-Tabell2[[#This Row],[ReisetidOslo-T]])*100/M$439</f>
        <v>61.289945155250763</v>
      </c>
      <c r="X79" s="7">
        <f>100-(N$436-Tabell2[[#This Row],[Beftettland-T]])*100/N$439</f>
        <v>2.9805520828311529</v>
      </c>
      <c r="Y79" s="7">
        <f>100-(O$436-Tabell2[[#This Row],[Beftettotal-T]])*100/O$439</f>
        <v>2.9925692899102927</v>
      </c>
      <c r="Z79" s="7">
        <f>100-(P$436-Tabell2[[#This Row],[Befvekst10-T]])*100/P$439</f>
        <v>30.395053739982586</v>
      </c>
      <c r="AA79" s="7">
        <f>100-(Q$436-Tabell2[[#This Row],[Kvinneandel-T]])*100/Q$439</f>
        <v>28.497065662141011</v>
      </c>
      <c r="AB79" s="7">
        <f>(R$436-Tabell2[[#This Row],[Eldreandel-T]])*100/R$439</f>
        <v>29.808792703925537</v>
      </c>
      <c r="AC79" s="7">
        <f>100-(S$436-Tabell2[[#This Row],[Sysselsettingsvekst10-T]])*100/S$439</f>
        <v>45.989706886869278</v>
      </c>
      <c r="AD79" s="7">
        <f>100-(T$436-Tabell2[[#This Row],[Yrkesaktivandel-T]])*100/T$439</f>
        <v>97.14538795756738</v>
      </c>
      <c r="AE79" s="7">
        <f>100-(U$436-Tabell2[[#This Row],[Inntekt-T]])*100/U$439</f>
        <v>21.543843809953728</v>
      </c>
      <c r="AF79" s="7">
        <v>14</v>
      </c>
      <c r="AG79" s="7">
        <v>6.1289945155250765</v>
      </c>
      <c r="AH79" s="7">
        <v>0.29925692899102929</v>
      </c>
      <c r="AI79" s="7">
        <v>6.0790107479965174</v>
      </c>
      <c r="AJ79" s="7">
        <v>1.4248532831070506</v>
      </c>
      <c r="AK79" s="7">
        <v>1.490439635196277</v>
      </c>
      <c r="AL79" s="7">
        <v>4.5989706886869284</v>
      </c>
      <c r="AM79" s="7">
        <v>9.714538795756738</v>
      </c>
      <c r="AN79" s="7">
        <v>2.1543843809953729</v>
      </c>
      <c r="AO7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45.890448976254987</v>
      </c>
    </row>
    <row r="80" spans="1:41" x14ac:dyDescent="0.3">
      <c r="A80" s="2" t="s">
        <v>77</v>
      </c>
      <c r="B80">
        <f>'Rådata-K'!N79</f>
        <v>4</v>
      </c>
      <c r="C80" s="7">
        <f>'Rådata-K'!M79</f>
        <v>90.5</v>
      </c>
      <c r="D80" s="24">
        <f>'Rådata-K'!O79</f>
        <v>30.703001091680569</v>
      </c>
      <c r="E80" s="24">
        <f>'Rådata-K'!P79</f>
        <v>26.496258243418595</v>
      </c>
      <c r="F80" s="24">
        <f>'Rådata-K'!Q79</f>
        <v>3.1342973777070515E-2</v>
      </c>
      <c r="G80" s="24">
        <f>'Rådata-K'!R79</f>
        <v>0.10183818596538306</v>
      </c>
      <c r="H80" s="24">
        <f>'Rådata-K'!S79</f>
        <v>0.18321481282704952</v>
      </c>
      <c r="I80" s="24">
        <f>'Rådata-K'!T79</f>
        <v>6.7831449126413146E-2</v>
      </c>
      <c r="J80" s="24">
        <f>'Rådata-K'!U79</f>
        <v>0.85105133325502169</v>
      </c>
      <c r="K80" s="24">
        <f>'Rådata-K'!L79</f>
        <v>366300</v>
      </c>
      <c r="L80" s="24">
        <f>Tabell2[[#This Row],[NIBR11]]</f>
        <v>4</v>
      </c>
      <c r="M80" s="24">
        <f>IF(Tabell2[[#This Row],[ReisetidOslo]]&lt;=C$434,C$434,IF(Tabell2[[#This Row],[ReisetidOslo]]&gt;=C$435,C$435,Tabell2[[#This Row],[ReisetidOslo]]))</f>
        <v>90.5</v>
      </c>
      <c r="N80" s="24">
        <f>IF(Tabell2[[#This Row],[Beftettland]]&lt;=D$434,D$434,IF(Tabell2[[#This Row],[Beftettland]]&gt;=D$435,D$435,Tabell2[[#This Row],[Beftettland]]))</f>
        <v>30.703001091680569</v>
      </c>
      <c r="O80" s="24">
        <f>IF(Tabell2[[#This Row],[Beftettotal]]&lt;=E$434,E$434,IF(Tabell2[[#This Row],[Beftettotal]]&gt;=E$435,E$435,Tabell2[[#This Row],[Beftettotal]]))</f>
        <v>26.496258243418595</v>
      </c>
      <c r="P80" s="24">
        <f>IF(Tabell2[[#This Row],[Befvekst10]]&lt;=F$434,F$434,IF(Tabell2[[#This Row],[Befvekst10]]&gt;=F$435,F$435,Tabell2[[#This Row],[Befvekst10]]))</f>
        <v>3.1342973777070515E-2</v>
      </c>
      <c r="Q80" s="24">
        <f>IF(Tabell2[[#This Row],[Kvinneandel]]&lt;=G$434,G$434,IF(Tabell2[[#This Row],[Kvinneandel]]&gt;=G$435,G$435,Tabell2[[#This Row],[Kvinneandel]]))</f>
        <v>0.10183818596538306</v>
      </c>
      <c r="R80" s="24">
        <f>IF(Tabell2[[#This Row],[Eldreandel]]&lt;=H$434,H$434,IF(Tabell2[[#This Row],[Eldreandel]]&gt;=H$435,H$435,Tabell2[[#This Row],[Eldreandel]]))</f>
        <v>0.18321481282704952</v>
      </c>
      <c r="S80" s="24">
        <f>IF(Tabell2[[#This Row],[Sysselsettingsvekst10]]&lt;=I$434,I$434,IF(Tabell2[[#This Row],[Sysselsettingsvekst10]]&gt;=I$435,I$435,Tabell2[[#This Row],[Sysselsettingsvekst10]]))</f>
        <v>6.7831449126413146E-2</v>
      </c>
      <c r="T80" s="24">
        <f>IF(Tabell2[[#This Row],[Yrkesaktivandel]]&lt;=J$434,J$434,IF(Tabell2[[#This Row],[Yrkesaktivandel]]&gt;=J$435,J$435,Tabell2[[#This Row],[Yrkesaktivandel]]))</f>
        <v>0.85105133325502169</v>
      </c>
      <c r="U80" s="24">
        <f>IF(Tabell2[[#This Row],[Inntekt]]&lt;=K$434,K$434,IF(Tabell2[[#This Row],[Inntekt]]&gt;=K$435,K$435,Tabell2[[#This Row],[Inntekt]]))</f>
        <v>366300</v>
      </c>
      <c r="V80" s="7">
        <f>IF(Tabell2[[#This Row],[NIBR11-T]]&lt;=L$437,100,IF(Tabell2[[#This Row],[NIBR11-T]]&gt;=L$436,0,100*(L$436-Tabell2[[#This Row],[NIBR11-T]])/L$439))</f>
        <v>70</v>
      </c>
      <c r="W80" s="7">
        <f>(M$436-Tabell2[[#This Row],[ReisetidOslo-T]])*100/M$439</f>
        <v>83.344789762341733</v>
      </c>
      <c r="X80" s="7">
        <f>100-(N$436-Tabell2[[#This Row],[Beftettland-T]])*100/N$439</f>
        <v>21.673659010715426</v>
      </c>
      <c r="Y80" s="7">
        <f>100-(O$436-Tabell2[[#This Row],[Beftettotal-T]])*100/O$439</f>
        <v>19.272361436230824</v>
      </c>
      <c r="Z80" s="7">
        <f>100-(P$436-Tabell2[[#This Row],[Befvekst10-T]])*100/P$439</f>
        <v>41.449894069706851</v>
      </c>
      <c r="AA80" s="7">
        <f>100-(Q$436-Tabell2[[#This Row],[Kvinneandel-T]])*100/Q$439</f>
        <v>32.35575171056658</v>
      </c>
      <c r="AB80" s="7">
        <f>(R$436-Tabell2[[#This Row],[Eldreandel-T]])*100/R$439</f>
        <v>40.055623301552508</v>
      </c>
      <c r="AC80" s="7">
        <f>100-(S$436-Tabell2[[#This Row],[Sysselsettingsvekst10-T]])*100/S$439</f>
        <v>52.347289319906331</v>
      </c>
      <c r="AD80" s="7">
        <f>100-(T$436-Tabell2[[#This Row],[Yrkesaktivandel-T]])*100/T$439</f>
        <v>36.793110189927305</v>
      </c>
      <c r="AE80" s="7">
        <f>100-(U$436-Tabell2[[#This Row],[Inntekt-T]])*100/U$439</f>
        <v>24.703758040853174</v>
      </c>
      <c r="AF80" s="7">
        <v>14</v>
      </c>
      <c r="AG80" s="7">
        <v>8.3344789762341733</v>
      </c>
      <c r="AH80" s="7">
        <v>1.9272361436230825</v>
      </c>
      <c r="AI80" s="7">
        <v>8.2899788139413708</v>
      </c>
      <c r="AJ80" s="7">
        <v>1.617787585528329</v>
      </c>
      <c r="AK80" s="7">
        <v>2.0027811650776255</v>
      </c>
      <c r="AL80" s="7">
        <v>5.2347289319906336</v>
      </c>
      <c r="AM80" s="7">
        <v>3.6793110189927307</v>
      </c>
      <c r="AN80" s="7">
        <v>2.4703758040853177</v>
      </c>
      <c r="AO8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47.556678439473259</v>
      </c>
    </row>
    <row r="81" spans="1:41" x14ac:dyDescent="0.3">
      <c r="A81" s="2" t="s">
        <v>78</v>
      </c>
      <c r="B81">
        <f>'Rådata-K'!N80</f>
        <v>4</v>
      </c>
      <c r="C81" s="7">
        <f>'Rådata-K'!M80</f>
        <v>95.866666666699999</v>
      </c>
      <c r="D81" s="24">
        <f>'Rådata-K'!O80</f>
        <v>56.969958936676036</v>
      </c>
      <c r="E81" s="24">
        <f>'Rådata-K'!P80</f>
        <v>52.821417120872077</v>
      </c>
      <c r="F81" s="24">
        <f>'Rådata-K'!Q80</f>
        <v>4.6114771013572531E-2</v>
      </c>
      <c r="G81" s="24">
        <f>'Rådata-K'!R80</f>
        <v>0.10766312594840667</v>
      </c>
      <c r="H81" s="24">
        <f>'Rådata-K'!S80</f>
        <v>0.17716236722306525</v>
      </c>
      <c r="I81" s="24">
        <f>'Rådata-K'!T80</f>
        <v>6.3770945176508942E-2</v>
      </c>
      <c r="J81" s="24">
        <f>'Rådata-K'!U80</f>
        <v>0.85190577024880887</v>
      </c>
      <c r="K81" s="24">
        <f>'Rådata-K'!L80</f>
        <v>366600</v>
      </c>
      <c r="L81" s="24">
        <f>Tabell2[[#This Row],[NIBR11]]</f>
        <v>4</v>
      </c>
      <c r="M81" s="24">
        <f>IF(Tabell2[[#This Row],[ReisetidOslo]]&lt;=C$434,C$434,IF(Tabell2[[#This Row],[ReisetidOslo]]&gt;=C$435,C$435,Tabell2[[#This Row],[ReisetidOslo]]))</f>
        <v>95.866666666699999</v>
      </c>
      <c r="N81" s="24">
        <f>IF(Tabell2[[#This Row],[Beftettland]]&lt;=D$434,D$434,IF(Tabell2[[#This Row],[Beftettland]]&gt;=D$435,D$435,Tabell2[[#This Row],[Beftettland]]))</f>
        <v>56.969958936676036</v>
      </c>
      <c r="O81" s="24">
        <f>IF(Tabell2[[#This Row],[Beftettotal]]&lt;=E$434,E$434,IF(Tabell2[[#This Row],[Beftettotal]]&gt;=E$435,E$435,Tabell2[[#This Row],[Beftettotal]]))</f>
        <v>52.821417120872077</v>
      </c>
      <c r="P81" s="24">
        <f>IF(Tabell2[[#This Row],[Befvekst10]]&lt;=F$434,F$434,IF(Tabell2[[#This Row],[Befvekst10]]&gt;=F$435,F$435,Tabell2[[#This Row],[Befvekst10]]))</f>
        <v>4.6114771013572531E-2</v>
      </c>
      <c r="Q81" s="24">
        <f>IF(Tabell2[[#This Row],[Kvinneandel]]&lt;=G$434,G$434,IF(Tabell2[[#This Row],[Kvinneandel]]&gt;=G$435,G$435,Tabell2[[#This Row],[Kvinneandel]]))</f>
        <v>0.10766312594840667</v>
      </c>
      <c r="R81" s="24">
        <f>IF(Tabell2[[#This Row],[Eldreandel]]&lt;=H$434,H$434,IF(Tabell2[[#This Row],[Eldreandel]]&gt;=H$435,H$435,Tabell2[[#This Row],[Eldreandel]]))</f>
        <v>0.17716236722306525</v>
      </c>
      <c r="S81" s="24">
        <f>IF(Tabell2[[#This Row],[Sysselsettingsvekst10]]&lt;=I$434,I$434,IF(Tabell2[[#This Row],[Sysselsettingsvekst10]]&gt;=I$435,I$435,Tabell2[[#This Row],[Sysselsettingsvekst10]]))</f>
        <v>6.3770945176508942E-2</v>
      </c>
      <c r="T81" s="24">
        <f>IF(Tabell2[[#This Row],[Yrkesaktivandel]]&lt;=J$434,J$434,IF(Tabell2[[#This Row],[Yrkesaktivandel]]&gt;=J$435,J$435,Tabell2[[#This Row],[Yrkesaktivandel]]))</f>
        <v>0.85190577024880887</v>
      </c>
      <c r="U81" s="24">
        <f>IF(Tabell2[[#This Row],[Inntekt]]&lt;=K$434,K$434,IF(Tabell2[[#This Row],[Inntekt]]&gt;=K$435,K$435,Tabell2[[#This Row],[Inntekt]]))</f>
        <v>366600</v>
      </c>
      <c r="V81" s="7">
        <f>IF(Tabell2[[#This Row],[NIBR11-T]]&lt;=L$437,100,IF(Tabell2[[#This Row],[NIBR11-T]]&gt;=L$436,0,100*(L$436-Tabell2[[#This Row],[NIBR11-T]])/L$439))</f>
        <v>70</v>
      </c>
      <c r="W81" s="7">
        <f>(M$436-Tabell2[[#This Row],[ReisetidOslo-T]])*100/M$439</f>
        <v>80.990127970736864</v>
      </c>
      <c r="X81" s="7">
        <f>100-(N$436-Tabell2[[#This Row],[Beftettland-T]])*100/N$439</f>
        <v>41.103426069938052</v>
      </c>
      <c r="Y81" s="7">
        <f>100-(O$436-Tabell2[[#This Row],[Beftettotal-T]])*100/O$439</f>
        <v>39.422653282984385</v>
      </c>
      <c r="Z81" s="7">
        <f>100-(P$436-Tabell2[[#This Row],[Befvekst10-T]])*100/P$439</f>
        <v>47.428942255091464</v>
      </c>
      <c r="AA81" s="7">
        <f>100-(Q$436-Tabell2[[#This Row],[Kvinneandel-T]])*100/Q$439</f>
        <v>47.658179347369433</v>
      </c>
      <c r="AB81" s="7">
        <f>(R$436-Tabell2[[#This Row],[Eldreandel-T]])*100/R$439</f>
        <v>46.587754476265623</v>
      </c>
      <c r="AC81" s="7">
        <f>100-(S$436-Tabell2[[#This Row],[Sysselsettingsvekst10-T]])*100/S$439</f>
        <v>51.022138573787281</v>
      </c>
      <c r="AD81" s="7">
        <f>100-(T$436-Tabell2[[#This Row],[Yrkesaktivandel-T]])*100/T$439</f>
        <v>37.395739323303971</v>
      </c>
      <c r="AE81" s="7">
        <f>100-(U$436-Tabell2[[#This Row],[Inntekt-T]])*100/U$439</f>
        <v>25.042320279878112</v>
      </c>
      <c r="AF81" s="7">
        <v>14</v>
      </c>
      <c r="AG81" s="7">
        <v>8.0990127970736872</v>
      </c>
      <c r="AH81" s="7">
        <v>3.9422653282984386</v>
      </c>
      <c r="AI81" s="7">
        <v>9.4857884510182924</v>
      </c>
      <c r="AJ81" s="7">
        <v>2.3829089673684716</v>
      </c>
      <c r="AK81" s="7">
        <v>2.3293877238132814</v>
      </c>
      <c r="AL81" s="7">
        <v>5.1022138573787288</v>
      </c>
      <c r="AM81" s="7">
        <v>3.7395739323303974</v>
      </c>
      <c r="AN81" s="7">
        <v>2.5042320279878112</v>
      </c>
      <c r="AO8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51.585383085269108</v>
      </c>
    </row>
    <row r="82" spans="1:41" x14ac:dyDescent="0.3">
      <c r="A82" s="2" t="s">
        <v>79</v>
      </c>
      <c r="B82">
        <f>'Rådata-K'!N81</f>
        <v>5</v>
      </c>
      <c r="C82" s="7">
        <f>'Rådata-K'!M81</f>
        <v>58.166666666700003</v>
      </c>
      <c r="D82" s="24">
        <f>'Rådata-K'!O81</f>
        <v>34.1068121012554</v>
      </c>
      <c r="E82" s="24">
        <f>'Rådata-K'!P81</f>
        <v>29.368243841928049</v>
      </c>
      <c r="F82" s="24">
        <f>'Rådata-K'!Q81</f>
        <v>5.0221799746514639E-2</v>
      </c>
      <c r="G82" s="24">
        <f>'Rådata-K'!R81</f>
        <v>0.11012219037562226</v>
      </c>
      <c r="H82" s="24">
        <f>'Rådata-K'!S81</f>
        <v>0.17031226429325691</v>
      </c>
      <c r="I82" s="24">
        <f>'Rådata-K'!T81</f>
        <v>-0.12059620596205967</v>
      </c>
      <c r="J82" s="24">
        <f>'Rådata-K'!U81</f>
        <v>0.84378292939936772</v>
      </c>
      <c r="K82" s="24">
        <f>'Rådata-K'!L81</f>
        <v>368700</v>
      </c>
      <c r="L82" s="24">
        <f>Tabell2[[#This Row],[NIBR11]]</f>
        <v>5</v>
      </c>
      <c r="M82" s="24">
        <f>IF(Tabell2[[#This Row],[ReisetidOslo]]&lt;=C$434,C$434,IF(Tabell2[[#This Row],[ReisetidOslo]]&gt;=C$435,C$435,Tabell2[[#This Row],[ReisetidOslo]]))</f>
        <v>58.166666666700003</v>
      </c>
      <c r="N82" s="24">
        <f>IF(Tabell2[[#This Row],[Beftettland]]&lt;=D$434,D$434,IF(Tabell2[[#This Row],[Beftettland]]&gt;=D$435,D$435,Tabell2[[#This Row],[Beftettland]]))</f>
        <v>34.1068121012554</v>
      </c>
      <c r="O82" s="24">
        <f>IF(Tabell2[[#This Row],[Beftettotal]]&lt;=E$434,E$434,IF(Tabell2[[#This Row],[Beftettotal]]&gt;=E$435,E$435,Tabell2[[#This Row],[Beftettotal]]))</f>
        <v>29.368243841928049</v>
      </c>
      <c r="P82" s="24">
        <f>IF(Tabell2[[#This Row],[Befvekst10]]&lt;=F$434,F$434,IF(Tabell2[[#This Row],[Befvekst10]]&gt;=F$435,F$435,Tabell2[[#This Row],[Befvekst10]]))</f>
        <v>5.0221799746514639E-2</v>
      </c>
      <c r="Q82" s="24">
        <f>IF(Tabell2[[#This Row],[Kvinneandel]]&lt;=G$434,G$434,IF(Tabell2[[#This Row],[Kvinneandel]]&gt;=G$435,G$435,Tabell2[[#This Row],[Kvinneandel]]))</f>
        <v>0.11012219037562226</v>
      </c>
      <c r="R82" s="24">
        <f>IF(Tabell2[[#This Row],[Eldreandel]]&lt;=H$434,H$434,IF(Tabell2[[#This Row],[Eldreandel]]&gt;=H$435,H$435,Tabell2[[#This Row],[Eldreandel]]))</f>
        <v>0.17031226429325691</v>
      </c>
      <c r="S82" s="24">
        <f>IF(Tabell2[[#This Row],[Sysselsettingsvekst10]]&lt;=I$434,I$434,IF(Tabell2[[#This Row],[Sysselsettingsvekst10]]&gt;=I$435,I$435,Tabell2[[#This Row],[Sysselsettingsvekst10]]))</f>
        <v>-9.2570207570207563E-2</v>
      </c>
      <c r="T82" s="24">
        <f>IF(Tabell2[[#This Row],[Yrkesaktivandel]]&lt;=J$434,J$434,IF(Tabell2[[#This Row],[Yrkesaktivandel]]&gt;=J$435,J$435,Tabell2[[#This Row],[Yrkesaktivandel]]))</f>
        <v>0.84378292939936772</v>
      </c>
      <c r="U82" s="24">
        <f>IF(Tabell2[[#This Row],[Inntekt]]&lt;=K$434,K$434,IF(Tabell2[[#This Row],[Inntekt]]&gt;=K$435,K$435,Tabell2[[#This Row],[Inntekt]]))</f>
        <v>368700</v>
      </c>
      <c r="V82" s="7">
        <f>IF(Tabell2[[#This Row],[NIBR11-T]]&lt;=L$437,100,IF(Tabell2[[#This Row],[NIBR11-T]]&gt;=L$436,0,100*(L$436-Tabell2[[#This Row],[NIBR11-T]])/L$439))</f>
        <v>60</v>
      </c>
      <c r="W82" s="7">
        <f>(M$436-Tabell2[[#This Row],[ReisetidOslo-T]])*100/M$439</f>
        <v>97.531261425945416</v>
      </c>
      <c r="X82" s="7">
        <f>100-(N$436-Tabell2[[#This Row],[Beftettland-T]])*100/N$439</f>
        <v>24.191470758079873</v>
      </c>
      <c r="Y82" s="7">
        <f>100-(O$436-Tabell2[[#This Row],[Beftettotal-T]])*100/O$439</f>
        <v>21.470689972785379</v>
      </c>
      <c r="Z82" s="7">
        <f>100-(P$436-Tabell2[[#This Row],[Befvekst10-T]])*100/P$439</f>
        <v>49.091307524521255</v>
      </c>
      <c r="AA82" s="7">
        <f>100-(Q$436-Tabell2[[#This Row],[Kvinneandel-T]])*100/Q$439</f>
        <v>54.118272594917343</v>
      </c>
      <c r="AB82" s="7">
        <f>(R$436-Tabell2[[#This Row],[Eldreandel-T]])*100/R$439</f>
        <v>53.980761175630086</v>
      </c>
      <c r="AC82" s="7">
        <f>100-(S$436-Tabell2[[#This Row],[Sysselsettingsvekst10-T]])*100/S$439</f>
        <v>0</v>
      </c>
      <c r="AD82" s="7">
        <f>100-(T$436-Tabell2[[#This Row],[Yrkesaktivandel-T]])*100/T$439</f>
        <v>31.666749851583418</v>
      </c>
      <c r="AE82" s="7">
        <f>100-(U$436-Tabell2[[#This Row],[Inntekt-T]])*100/U$439</f>
        <v>27.412255953052707</v>
      </c>
      <c r="AF82" s="7">
        <v>12</v>
      </c>
      <c r="AG82" s="7">
        <v>9.7531261425945424</v>
      </c>
      <c r="AH82" s="7">
        <v>2.1470689972785379</v>
      </c>
      <c r="AI82" s="7">
        <v>9.8182615049042514</v>
      </c>
      <c r="AJ82" s="7">
        <v>2.7059136297458672</v>
      </c>
      <c r="AK82" s="7">
        <v>2.6990380587815044</v>
      </c>
      <c r="AL82" s="7">
        <v>0</v>
      </c>
      <c r="AM82" s="7">
        <v>3.166674985158342</v>
      </c>
      <c r="AN82" s="7">
        <v>2.7412255953052709</v>
      </c>
      <c r="AO8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45.031308913768321</v>
      </c>
    </row>
    <row r="83" spans="1:41" x14ac:dyDescent="0.3">
      <c r="A83" s="2" t="s">
        <v>80</v>
      </c>
      <c r="B83">
        <f>'Rådata-K'!N82</f>
        <v>1</v>
      </c>
      <c r="C83" s="7">
        <f>'Rådata-K'!M82</f>
        <v>50.2166666667</v>
      </c>
      <c r="D83" s="24">
        <f>'Rådata-K'!O82</f>
        <v>33.286713286713287</v>
      </c>
      <c r="E83" s="24">
        <f>'Rådata-K'!P82</f>
        <v>30.989583333333336</v>
      </c>
      <c r="F83" s="24">
        <f>'Rådata-K'!Q82</f>
        <v>6.1751584879079502E-2</v>
      </c>
      <c r="G83" s="24">
        <f>'Rådata-K'!R82</f>
        <v>0.11808934099955772</v>
      </c>
      <c r="H83" s="24">
        <f>'Rådata-K'!S82</f>
        <v>0.14031402034498008</v>
      </c>
      <c r="I83" s="24">
        <f>'Rådata-K'!T82</f>
        <v>2.3551577955722713E-3</v>
      </c>
      <c r="J83" s="24">
        <f>'Rådata-K'!U82</f>
        <v>0.85312324141812046</v>
      </c>
      <c r="K83" s="24">
        <f>'Rådata-K'!L82</f>
        <v>404500</v>
      </c>
      <c r="L83" s="24">
        <f>Tabell2[[#This Row],[NIBR11]]</f>
        <v>1</v>
      </c>
      <c r="M83" s="24">
        <f>IF(Tabell2[[#This Row],[ReisetidOslo]]&lt;=C$434,C$434,IF(Tabell2[[#This Row],[ReisetidOslo]]&gt;=C$435,C$435,Tabell2[[#This Row],[ReisetidOslo]]))</f>
        <v>52.54</v>
      </c>
      <c r="N83" s="24">
        <f>IF(Tabell2[[#This Row],[Beftettland]]&lt;=D$434,D$434,IF(Tabell2[[#This Row],[Beftettland]]&gt;=D$435,D$435,Tabell2[[#This Row],[Beftettland]]))</f>
        <v>33.286713286713287</v>
      </c>
      <c r="O83" s="24">
        <f>IF(Tabell2[[#This Row],[Beftettotal]]&lt;=E$434,E$434,IF(Tabell2[[#This Row],[Beftettotal]]&gt;=E$435,E$435,Tabell2[[#This Row],[Beftettotal]]))</f>
        <v>30.989583333333336</v>
      </c>
      <c r="P83" s="24">
        <f>IF(Tabell2[[#This Row],[Befvekst10]]&lt;=F$434,F$434,IF(Tabell2[[#This Row],[Befvekst10]]&gt;=F$435,F$435,Tabell2[[#This Row],[Befvekst10]]))</f>
        <v>6.1751584879079502E-2</v>
      </c>
      <c r="Q83" s="24">
        <f>IF(Tabell2[[#This Row],[Kvinneandel]]&lt;=G$434,G$434,IF(Tabell2[[#This Row],[Kvinneandel]]&gt;=G$435,G$435,Tabell2[[#This Row],[Kvinneandel]]))</f>
        <v>0.11808934099955772</v>
      </c>
      <c r="R83" s="24">
        <f>IF(Tabell2[[#This Row],[Eldreandel]]&lt;=H$434,H$434,IF(Tabell2[[#This Row],[Eldreandel]]&gt;=H$435,H$435,Tabell2[[#This Row],[Eldreandel]]))</f>
        <v>0.14031402034498008</v>
      </c>
      <c r="S83" s="24">
        <f>IF(Tabell2[[#This Row],[Sysselsettingsvekst10]]&lt;=I$434,I$434,IF(Tabell2[[#This Row],[Sysselsettingsvekst10]]&gt;=I$435,I$435,Tabell2[[#This Row],[Sysselsettingsvekst10]]))</f>
        <v>2.3551577955722713E-3</v>
      </c>
      <c r="T83" s="24">
        <f>IF(Tabell2[[#This Row],[Yrkesaktivandel]]&lt;=J$434,J$434,IF(Tabell2[[#This Row],[Yrkesaktivandel]]&gt;=J$435,J$435,Tabell2[[#This Row],[Yrkesaktivandel]]))</f>
        <v>0.85312324141812046</v>
      </c>
      <c r="U83" s="24">
        <f>IF(Tabell2[[#This Row],[Inntekt]]&lt;=K$434,K$434,IF(Tabell2[[#This Row],[Inntekt]]&gt;=K$435,K$435,Tabell2[[#This Row],[Inntekt]]))</f>
        <v>404500</v>
      </c>
      <c r="V83" s="7">
        <f>IF(Tabell2[[#This Row],[NIBR11-T]]&lt;=L$437,100,IF(Tabell2[[#This Row],[NIBR11-T]]&gt;=L$436,0,100*(L$436-Tabell2[[#This Row],[NIBR11-T]])/L$439))</f>
        <v>100</v>
      </c>
      <c r="W83" s="7">
        <f>(M$436-Tabell2[[#This Row],[ReisetidOslo-T]])*100/M$439</f>
        <v>100</v>
      </c>
      <c r="X83" s="7">
        <f>100-(N$436-Tabell2[[#This Row],[Beftettland-T]])*100/N$439</f>
        <v>23.584840594582118</v>
      </c>
      <c r="Y83" s="7">
        <f>100-(O$436-Tabell2[[#This Row],[Beftettotal-T]])*100/O$439</f>
        <v>22.71172574721578</v>
      </c>
      <c r="Z83" s="7">
        <f>100-(P$436-Tabell2[[#This Row],[Befvekst10-T]])*100/P$439</f>
        <v>53.758115480995798</v>
      </c>
      <c r="AA83" s="7">
        <f>100-(Q$436-Tabell2[[#This Row],[Kvinneandel-T]])*100/Q$439</f>
        <v>75.048401703474525</v>
      </c>
      <c r="AB83" s="7">
        <f>(R$436-Tabell2[[#This Row],[Eldreandel-T]])*100/R$439</f>
        <v>86.356510963813975</v>
      </c>
      <c r="AC83" s="7">
        <f>100-(S$436-Tabell2[[#This Row],[Sysselsettingsvekst10-T]])*100/S$439</f>
        <v>30.979016469877763</v>
      </c>
      <c r="AD83" s="7">
        <f>100-(T$436-Tabell2[[#This Row],[Yrkesaktivandel-T]])*100/T$439</f>
        <v>38.254414218010197</v>
      </c>
      <c r="AE83" s="7">
        <f>100-(U$436-Tabell2[[#This Row],[Inntekt-T]])*100/U$439</f>
        <v>67.814016476695627</v>
      </c>
      <c r="AF83" s="7">
        <v>20</v>
      </c>
      <c r="AG83" s="7">
        <v>10</v>
      </c>
      <c r="AH83" s="7">
        <v>2.2711725747215783</v>
      </c>
      <c r="AI83" s="7">
        <v>10.751623096199161</v>
      </c>
      <c r="AJ83" s="7">
        <v>3.7524200851737266</v>
      </c>
      <c r="AK83" s="7">
        <v>4.3178255481906991</v>
      </c>
      <c r="AL83" s="7">
        <v>3.0979016469877765</v>
      </c>
      <c r="AM83" s="7">
        <v>3.82544142180102</v>
      </c>
      <c r="AN83" s="7">
        <v>6.7814016476695631</v>
      </c>
      <c r="AO8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64.797786020743516</v>
      </c>
    </row>
    <row r="84" spans="1:41" x14ac:dyDescent="0.3">
      <c r="A84" s="2" t="s">
        <v>81</v>
      </c>
      <c r="B84">
        <f>'Rådata-K'!N83</f>
        <v>1</v>
      </c>
      <c r="C84" s="7">
        <f>'Rådata-K'!M83</f>
        <v>61.583333333299997</v>
      </c>
      <c r="D84" s="24">
        <f>'Rådata-K'!O83</f>
        <v>20.8555416806262</v>
      </c>
      <c r="E84" s="24">
        <f>'Rådata-K'!P83</f>
        <v>18.099517610520056</v>
      </c>
      <c r="F84" s="24">
        <f>'Rådata-K'!Q83</f>
        <v>4.8140211235267127E-2</v>
      </c>
      <c r="G84" s="24">
        <f>'Rådata-K'!R83</f>
        <v>0.10631617378605331</v>
      </c>
      <c r="H84" s="24">
        <f>'Rådata-K'!S83</f>
        <v>0.17466228550565899</v>
      </c>
      <c r="I84" s="24">
        <f>'Rådata-K'!T83</f>
        <v>7.2589382448537298E-2</v>
      </c>
      <c r="J84" s="24">
        <f>'Rådata-K'!U83</f>
        <v>0.85025086839058284</v>
      </c>
      <c r="K84" s="24">
        <f>'Rådata-K'!L83</f>
        <v>384000</v>
      </c>
      <c r="L84" s="24">
        <f>Tabell2[[#This Row],[NIBR11]]</f>
        <v>1</v>
      </c>
      <c r="M84" s="24">
        <f>IF(Tabell2[[#This Row],[ReisetidOslo]]&lt;=C$434,C$434,IF(Tabell2[[#This Row],[ReisetidOslo]]&gt;=C$435,C$435,Tabell2[[#This Row],[ReisetidOslo]]))</f>
        <v>61.583333333299997</v>
      </c>
      <c r="N84" s="24">
        <f>IF(Tabell2[[#This Row],[Beftettland]]&lt;=D$434,D$434,IF(Tabell2[[#This Row],[Beftettland]]&gt;=D$435,D$435,Tabell2[[#This Row],[Beftettland]]))</f>
        <v>20.8555416806262</v>
      </c>
      <c r="O84" s="24">
        <f>IF(Tabell2[[#This Row],[Beftettotal]]&lt;=E$434,E$434,IF(Tabell2[[#This Row],[Beftettotal]]&gt;=E$435,E$435,Tabell2[[#This Row],[Beftettotal]]))</f>
        <v>18.099517610520056</v>
      </c>
      <c r="P84" s="24">
        <f>IF(Tabell2[[#This Row],[Befvekst10]]&lt;=F$434,F$434,IF(Tabell2[[#This Row],[Befvekst10]]&gt;=F$435,F$435,Tabell2[[#This Row],[Befvekst10]]))</f>
        <v>4.8140211235267127E-2</v>
      </c>
      <c r="Q84" s="24">
        <f>IF(Tabell2[[#This Row],[Kvinneandel]]&lt;=G$434,G$434,IF(Tabell2[[#This Row],[Kvinneandel]]&gt;=G$435,G$435,Tabell2[[#This Row],[Kvinneandel]]))</f>
        <v>0.10631617378605331</v>
      </c>
      <c r="R84" s="24">
        <f>IF(Tabell2[[#This Row],[Eldreandel]]&lt;=H$434,H$434,IF(Tabell2[[#This Row],[Eldreandel]]&gt;=H$435,H$435,Tabell2[[#This Row],[Eldreandel]]))</f>
        <v>0.17466228550565899</v>
      </c>
      <c r="S84" s="24">
        <f>IF(Tabell2[[#This Row],[Sysselsettingsvekst10]]&lt;=I$434,I$434,IF(Tabell2[[#This Row],[Sysselsettingsvekst10]]&gt;=I$435,I$435,Tabell2[[#This Row],[Sysselsettingsvekst10]]))</f>
        <v>7.2589382448537298E-2</v>
      </c>
      <c r="T84" s="24">
        <f>IF(Tabell2[[#This Row],[Yrkesaktivandel]]&lt;=J$434,J$434,IF(Tabell2[[#This Row],[Yrkesaktivandel]]&gt;=J$435,J$435,Tabell2[[#This Row],[Yrkesaktivandel]]))</f>
        <v>0.85025086839058284</v>
      </c>
      <c r="U84" s="24">
        <f>IF(Tabell2[[#This Row],[Inntekt]]&lt;=K$434,K$434,IF(Tabell2[[#This Row],[Inntekt]]&gt;=K$435,K$435,Tabell2[[#This Row],[Inntekt]]))</f>
        <v>384000</v>
      </c>
      <c r="V84" s="7">
        <f>IF(Tabell2[[#This Row],[NIBR11-T]]&lt;=L$437,100,IF(Tabell2[[#This Row],[NIBR11-T]]&gt;=L$436,0,100*(L$436-Tabell2[[#This Row],[NIBR11-T]])/L$439))</f>
        <v>100</v>
      </c>
      <c r="W84" s="7">
        <f>(M$436-Tabell2[[#This Row],[ReisetidOslo-T]])*100/M$439</f>
        <v>96.032175502757255</v>
      </c>
      <c r="X84" s="7">
        <f>100-(N$436-Tabell2[[#This Row],[Beftettland-T]])*100/N$439</f>
        <v>14.389456416299254</v>
      </c>
      <c r="Y84" s="7">
        <f>100-(O$436-Tabell2[[#This Row],[Beftettotal-T]])*100/O$439</f>
        <v>12.84517233161688</v>
      </c>
      <c r="Z84" s="7">
        <f>100-(P$436-Tabell2[[#This Row],[Befvekst10-T]])*100/P$439</f>
        <v>48.248761569440227</v>
      </c>
      <c r="AA84" s="7">
        <f>100-(Q$436-Tabell2[[#This Row],[Kvinneandel-T]])*100/Q$439</f>
        <v>44.119664263142177</v>
      </c>
      <c r="AB84" s="7">
        <f>(R$436-Tabell2[[#This Row],[Eldreandel-T]])*100/R$439</f>
        <v>49.285979754795889</v>
      </c>
      <c r="AC84" s="7">
        <f>100-(S$436-Tabell2[[#This Row],[Sysselsettingsvekst10-T]])*100/S$439</f>
        <v>53.900047048893697</v>
      </c>
      <c r="AD84" s="7">
        <f>100-(T$436-Tabell2[[#This Row],[Yrkesaktivandel-T]])*100/T$439</f>
        <v>36.228547265963584</v>
      </c>
      <c r="AE84" s="7">
        <f>100-(U$436-Tabell2[[#This Row],[Inntekt-T]])*100/U$439</f>
        <v>44.678930143324678</v>
      </c>
      <c r="AF84" s="7">
        <v>20</v>
      </c>
      <c r="AG84" s="7">
        <v>9.6032175502757262</v>
      </c>
      <c r="AH84" s="7">
        <v>1.2845172331616881</v>
      </c>
      <c r="AI84" s="7">
        <v>9.6497523138880457</v>
      </c>
      <c r="AJ84" s="7">
        <v>2.2059832131571091</v>
      </c>
      <c r="AK84" s="7">
        <v>2.4642989877397947</v>
      </c>
      <c r="AL84" s="7">
        <v>5.3900047048893702</v>
      </c>
      <c r="AM84" s="7">
        <v>3.6228547265963584</v>
      </c>
      <c r="AN84" s="7">
        <v>4.4678930143324678</v>
      </c>
      <c r="AO8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58.688521744040564</v>
      </c>
    </row>
    <row r="85" spans="1:41" x14ac:dyDescent="0.3">
      <c r="A85" s="2" t="s">
        <v>82</v>
      </c>
      <c r="B85">
        <f>'Rådata-K'!N84</f>
        <v>4</v>
      </c>
      <c r="C85" s="7">
        <f>'Rådata-K'!M84</f>
        <v>97.383333333300001</v>
      </c>
      <c r="D85" s="24">
        <f>'Rådata-K'!O84</f>
        <v>8.7354926799666242</v>
      </c>
      <c r="E85" s="24">
        <f>'Rådata-K'!P84</f>
        <v>7.9054313800867702</v>
      </c>
      <c r="F85" s="24">
        <f>'Rådata-K'!Q84</f>
        <v>-3.6640455077798229E-2</v>
      </c>
      <c r="G85" s="24">
        <f>'Rådata-K'!R84</f>
        <v>9.4477249044807227E-2</v>
      </c>
      <c r="H85" s="24">
        <f>'Rådata-K'!S84</f>
        <v>0.17870788468218132</v>
      </c>
      <c r="I85" s="24">
        <f>'Rådata-K'!T84</f>
        <v>-0.11063140852671349</v>
      </c>
      <c r="J85" s="24">
        <f>'Rådata-K'!U84</f>
        <v>0.79415310427968655</v>
      </c>
      <c r="K85" s="24">
        <f>'Rådata-K'!L84</f>
        <v>330400</v>
      </c>
      <c r="L85" s="24">
        <f>Tabell2[[#This Row],[NIBR11]]</f>
        <v>4</v>
      </c>
      <c r="M85" s="24">
        <f>IF(Tabell2[[#This Row],[ReisetidOslo]]&lt;=C$434,C$434,IF(Tabell2[[#This Row],[ReisetidOslo]]&gt;=C$435,C$435,Tabell2[[#This Row],[ReisetidOslo]]))</f>
        <v>97.383333333300001</v>
      </c>
      <c r="N85" s="24">
        <f>IF(Tabell2[[#This Row],[Beftettland]]&lt;=D$434,D$434,IF(Tabell2[[#This Row],[Beftettland]]&gt;=D$435,D$435,Tabell2[[#This Row],[Beftettland]]))</f>
        <v>8.7354926799666242</v>
      </c>
      <c r="O85" s="24">
        <f>IF(Tabell2[[#This Row],[Beftettotal]]&lt;=E$434,E$434,IF(Tabell2[[#This Row],[Beftettotal]]&gt;=E$435,E$435,Tabell2[[#This Row],[Beftettotal]]))</f>
        <v>7.9054313800867702</v>
      </c>
      <c r="P85" s="24">
        <f>IF(Tabell2[[#This Row],[Befvekst10]]&lt;=F$434,F$434,IF(Tabell2[[#This Row],[Befvekst10]]&gt;=F$435,F$435,Tabell2[[#This Row],[Befvekst10]]))</f>
        <v>-3.6640455077798229E-2</v>
      </c>
      <c r="Q85" s="24">
        <f>IF(Tabell2[[#This Row],[Kvinneandel]]&lt;=G$434,G$434,IF(Tabell2[[#This Row],[Kvinneandel]]&gt;=G$435,G$435,Tabell2[[#This Row],[Kvinneandel]]))</f>
        <v>9.4477249044807227E-2</v>
      </c>
      <c r="R85" s="24">
        <f>IF(Tabell2[[#This Row],[Eldreandel]]&lt;=H$434,H$434,IF(Tabell2[[#This Row],[Eldreandel]]&gt;=H$435,H$435,Tabell2[[#This Row],[Eldreandel]]))</f>
        <v>0.17870788468218132</v>
      </c>
      <c r="S85" s="24">
        <f>IF(Tabell2[[#This Row],[Sysselsettingsvekst10]]&lt;=I$434,I$434,IF(Tabell2[[#This Row],[Sysselsettingsvekst10]]&gt;=I$435,I$435,Tabell2[[#This Row],[Sysselsettingsvekst10]]))</f>
        <v>-9.2570207570207563E-2</v>
      </c>
      <c r="T85" s="24">
        <f>IF(Tabell2[[#This Row],[Yrkesaktivandel]]&lt;=J$434,J$434,IF(Tabell2[[#This Row],[Yrkesaktivandel]]&gt;=J$435,J$435,Tabell2[[#This Row],[Yrkesaktivandel]]))</f>
        <v>0.79888426611272945</v>
      </c>
      <c r="U85" s="24">
        <f>IF(Tabell2[[#This Row],[Inntekt]]&lt;=K$434,K$434,IF(Tabell2[[#This Row],[Inntekt]]&gt;=K$435,K$435,Tabell2[[#This Row],[Inntekt]]))</f>
        <v>344410</v>
      </c>
      <c r="V85" s="7">
        <f>IF(Tabell2[[#This Row],[NIBR11-T]]&lt;=L$437,100,IF(Tabell2[[#This Row],[NIBR11-T]]&gt;=L$436,0,100*(L$436-Tabell2[[#This Row],[NIBR11-T]])/L$439))</f>
        <v>70</v>
      </c>
      <c r="W85" s="7">
        <f>(M$436-Tabell2[[#This Row],[ReisetidOslo-T]])*100/M$439</f>
        <v>80.324680073142773</v>
      </c>
      <c r="X85" s="7">
        <f>100-(N$436-Tabell2[[#This Row],[Beftettland-T]])*100/N$439</f>
        <v>5.424210794067946</v>
      </c>
      <c r="Y85" s="7">
        <f>100-(O$436-Tabell2[[#This Row],[Beftettotal-T]])*100/O$439</f>
        <v>5.0422255911840068</v>
      </c>
      <c r="Z85" s="7">
        <f>100-(P$436-Tabell2[[#This Row],[Befvekst10-T]])*100/P$439</f>
        <v>13.932849906218138</v>
      </c>
      <c r="AA85" s="7">
        <f>100-(Q$436-Tabell2[[#This Row],[Kvinneandel-T]])*100/Q$439</f>
        <v>13.018178294451644</v>
      </c>
      <c r="AB85" s="7">
        <f>(R$436-Tabell2[[#This Row],[Eldreandel-T]])*100/R$439</f>
        <v>44.91974728771531</v>
      </c>
      <c r="AC85" s="7">
        <f>100-(S$436-Tabell2[[#This Row],[Sysselsettingsvekst10-T]])*100/S$439</f>
        <v>0</v>
      </c>
      <c r="AD85" s="7">
        <f>100-(T$436-Tabell2[[#This Row],[Yrkesaktivandel-T]])*100/T$439</f>
        <v>0</v>
      </c>
      <c r="AE85" s="7">
        <f>100-(U$436-Tabell2[[#This Row],[Inntekt-T]])*100/U$439</f>
        <v>0</v>
      </c>
      <c r="AF85" s="7">
        <v>14</v>
      </c>
      <c r="AG85" s="7">
        <v>8.0324680073142769</v>
      </c>
      <c r="AH85" s="7">
        <v>0.50422255911840075</v>
      </c>
      <c r="AI85" s="7">
        <v>2.7865699812436278</v>
      </c>
      <c r="AJ85" s="7">
        <v>0.65090891472258228</v>
      </c>
      <c r="AK85" s="7">
        <v>2.2459873643857655</v>
      </c>
      <c r="AL85" s="7">
        <v>0</v>
      </c>
      <c r="AM85" s="7">
        <v>0</v>
      </c>
      <c r="AN85" s="7">
        <v>0</v>
      </c>
      <c r="AO8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28.220156826784653</v>
      </c>
    </row>
    <row r="86" spans="1:41" x14ac:dyDescent="0.3">
      <c r="A86" s="2" t="s">
        <v>83</v>
      </c>
      <c r="B86">
        <f>'Rådata-K'!N85</f>
        <v>4</v>
      </c>
      <c r="C86" s="7">
        <f>'Rådata-K'!M85</f>
        <v>119.9</v>
      </c>
      <c r="D86" s="24">
        <f>'Rådata-K'!O85</f>
        <v>7.3342169302972362</v>
      </c>
      <c r="E86" s="24">
        <f>'Rådata-K'!P85</f>
        <v>7.0668160073693356</v>
      </c>
      <c r="F86" s="24">
        <f>'Rådata-K'!Q85</f>
        <v>2.0780762950869391E-3</v>
      </c>
      <c r="G86" s="24">
        <f>'Rådata-K'!R85</f>
        <v>9.9392682565545842E-2</v>
      </c>
      <c r="H86" s="24">
        <f>'Rådata-K'!S85</f>
        <v>0.18797215227373723</v>
      </c>
      <c r="I86" s="24">
        <f>'Rådata-K'!T85</f>
        <v>8.1341419907242196E-2</v>
      </c>
      <c r="J86" s="24">
        <f>'Rådata-K'!U85</f>
        <v>0.85221030604237513</v>
      </c>
      <c r="K86" s="24">
        <f>'Rådata-K'!L85</f>
        <v>339400</v>
      </c>
      <c r="L86" s="24">
        <f>Tabell2[[#This Row],[NIBR11]]</f>
        <v>4</v>
      </c>
      <c r="M86" s="24">
        <f>IF(Tabell2[[#This Row],[ReisetidOslo]]&lt;=C$434,C$434,IF(Tabell2[[#This Row],[ReisetidOslo]]&gt;=C$435,C$435,Tabell2[[#This Row],[ReisetidOslo]]))</f>
        <v>119.9</v>
      </c>
      <c r="N86" s="24">
        <f>IF(Tabell2[[#This Row],[Beftettland]]&lt;=D$434,D$434,IF(Tabell2[[#This Row],[Beftettland]]&gt;=D$435,D$435,Tabell2[[#This Row],[Beftettland]]))</f>
        <v>7.3342169302972362</v>
      </c>
      <c r="O86" s="24">
        <f>IF(Tabell2[[#This Row],[Beftettotal]]&lt;=E$434,E$434,IF(Tabell2[[#This Row],[Beftettotal]]&gt;=E$435,E$435,Tabell2[[#This Row],[Beftettotal]]))</f>
        <v>7.0668160073693356</v>
      </c>
      <c r="P86" s="24">
        <f>IF(Tabell2[[#This Row],[Befvekst10]]&lt;=F$434,F$434,IF(Tabell2[[#This Row],[Befvekst10]]&gt;=F$435,F$435,Tabell2[[#This Row],[Befvekst10]]))</f>
        <v>2.0780762950869391E-3</v>
      </c>
      <c r="Q86" s="24">
        <f>IF(Tabell2[[#This Row],[Kvinneandel]]&lt;=G$434,G$434,IF(Tabell2[[#This Row],[Kvinneandel]]&gt;=G$435,G$435,Tabell2[[#This Row],[Kvinneandel]]))</f>
        <v>9.9392682565545842E-2</v>
      </c>
      <c r="R86" s="24">
        <f>IF(Tabell2[[#This Row],[Eldreandel]]&lt;=H$434,H$434,IF(Tabell2[[#This Row],[Eldreandel]]&gt;=H$435,H$435,Tabell2[[#This Row],[Eldreandel]]))</f>
        <v>0.18797215227373723</v>
      </c>
      <c r="S86" s="24">
        <f>IF(Tabell2[[#This Row],[Sysselsettingsvekst10]]&lt;=I$434,I$434,IF(Tabell2[[#This Row],[Sysselsettingsvekst10]]&gt;=I$435,I$435,Tabell2[[#This Row],[Sysselsettingsvekst10]]))</f>
        <v>8.1341419907242196E-2</v>
      </c>
      <c r="T86" s="24">
        <f>IF(Tabell2[[#This Row],[Yrkesaktivandel]]&lt;=J$434,J$434,IF(Tabell2[[#This Row],[Yrkesaktivandel]]&gt;=J$435,J$435,Tabell2[[#This Row],[Yrkesaktivandel]]))</f>
        <v>0.85221030604237513</v>
      </c>
      <c r="U86" s="24">
        <f>IF(Tabell2[[#This Row],[Inntekt]]&lt;=K$434,K$434,IF(Tabell2[[#This Row],[Inntekt]]&gt;=K$435,K$435,Tabell2[[#This Row],[Inntekt]]))</f>
        <v>344410</v>
      </c>
      <c r="V86" s="7">
        <f>IF(Tabell2[[#This Row],[NIBR11-T]]&lt;=L$437,100,IF(Tabell2[[#This Row],[NIBR11-T]]&gt;=L$436,0,100*(L$436-Tabell2[[#This Row],[NIBR11-T]])/L$439))</f>
        <v>70</v>
      </c>
      <c r="W86" s="7">
        <f>(M$436-Tabell2[[#This Row],[ReisetidOslo-T]])*100/M$439</f>
        <v>70.445338208412522</v>
      </c>
      <c r="X86" s="7">
        <f>100-(N$436-Tabell2[[#This Row],[Beftettland-T]])*100/N$439</f>
        <v>4.3876818757790375</v>
      </c>
      <c r="Y86" s="7">
        <f>100-(O$436-Tabell2[[#This Row],[Beftettotal-T]])*100/O$439</f>
        <v>4.4003170433156527</v>
      </c>
      <c r="Z86" s="7">
        <f>100-(P$436-Tabell2[[#This Row],[Befvekst10-T]])*100/P$439</f>
        <v>29.604603386136986</v>
      </c>
      <c r="AA86" s="7">
        <f>100-(Q$436-Tabell2[[#This Row],[Kvinneandel-T]])*100/Q$439</f>
        <v>25.9312840043535</v>
      </c>
      <c r="AB86" s="7">
        <f>(R$436-Tabell2[[#This Row],[Eldreandel-T]])*100/R$439</f>
        <v>34.921241707450356</v>
      </c>
      <c r="AC86" s="7">
        <f>100-(S$436-Tabell2[[#This Row],[Sysselsettingsvekst10-T]])*100/S$439</f>
        <v>56.756285858546434</v>
      </c>
      <c r="AD86" s="7">
        <f>100-(T$436-Tabell2[[#This Row],[Yrkesaktivandel-T]])*100/T$439</f>
        <v>37.610526537216096</v>
      </c>
      <c r="AE86" s="7">
        <f>100-(U$436-Tabell2[[#This Row],[Inntekt-T]])*100/U$439</f>
        <v>0</v>
      </c>
      <c r="AF86" s="7">
        <v>14</v>
      </c>
      <c r="AG86" s="7">
        <v>7.0445338208412522</v>
      </c>
      <c r="AH86" s="7">
        <v>0.4400317043315653</v>
      </c>
      <c r="AI86" s="7">
        <v>5.9209206772273975</v>
      </c>
      <c r="AJ86" s="7">
        <v>1.2965642002176752</v>
      </c>
      <c r="AK86" s="7">
        <v>1.7460620853725179</v>
      </c>
      <c r="AL86" s="7">
        <v>5.6756285858546436</v>
      </c>
      <c r="AM86" s="7">
        <v>3.7610526537216096</v>
      </c>
      <c r="AN86" s="7">
        <v>0</v>
      </c>
      <c r="AO8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39.88479372756666</v>
      </c>
    </row>
    <row r="87" spans="1:41" x14ac:dyDescent="0.3">
      <c r="A87" s="2" t="s">
        <v>84</v>
      </c>
      <c r="B87">
        <f>'Rådata-K'!N86</f>
        <v>10</v>
      </c>
      <c r="C87" s="7">
        <f>'Rådata-K'!M86</f>
        <v>122.833333333</v>
      </c>
      <c r="D87" s="24">
        <f>'Rådata-K'!O86</f>
        <v>2.8626793855255892</v>
      </c>
      <c r="E87" s="24">
        <f>'Rådata-K'!P86</f>
        <v>2.7573396811656927</v>
      </c>
      <c r="F87" s="24">
        <f>'Rådata-K'!Q86</f>
        <v>-5.7045945112550123E-2</v>
      </c>
      <c r="G87" s="24">
        <f>'Rådata-K'!R86</f>
        <v>9.287115761935906E-2</v>
      </c>
      <c r="H87" s="24">
        <f>'Rådata-K'!S86</f>
        <v>0.20863309352517986</v>
      </c>
      <c r="I87" s="24">
        <f>'Rådata-K'!T86</f>
        <v>-2.7667984189723271E-2</v>
      </c>
      <c r="J87" s="24">
        <f>'Rådata-K'!U86</f>
        <v>0.92298362644026688</v>
      </c>
      <c r="K87" s="24">
        <f>'Rådata-K'!L86</f>
        <v>351800</v>
      </c>
      <c r="L87" s="24">
        <f>Tabell2[[#This Row],[NIBR11]]</f>
        <v>10</v>
      </c>
      <c r="M87" s="24">
        <f>IF(Tabell2[[#This Row],[ReisetidOslo]]&lt;=C$434,C$434,IF(Tabell2[[#This Row],[ReisetidOslo]]&gt;=C$435,C$435,Tabell2[[#This Row],[ReisetidOslo]]))</f>
        <v>122.833333333</v>
      </c>
      <c r="N87" s="24">
        <f>IF(Tabell2[[#This Row],[Beftettland]]&lt;=D$434,D$434,IF(Tabell2[[#This Row],[Beftettland]]&gt;=D$435,D$435,Tabell2[[#This Row],[Beftettland]]))</f>
        <v>2.8626793855255892</v>
      </c>
      <c r="O87" s="24">
        <f>IF(Tabell2[[#This Row],[Beftettotal]]&lt;=E$434,E$434,IF(Tabell2[[#This Row],[Beftettotal]]&gt;=E$435,E$435,Tabell2[[#This Row],[Beftettotal]]))</f>
        <v>2.7573396811656927</v>
      </c>
      <c r="P87" s="24">
        <f>IF(Tabell2[[#This Row],[Befvekst10]]&lt;=F$434,F$434,IF(Tabell2[[#This Row],[Befvekst10]]&gt;=F$435,F$435,Tabell2[[#This Row],[Befvekst10]]))</f>
        <v>-5.7045945112550123E-2</v>
      </c>
      <c r="Q87" s="24">
        <f>IF(Tabell2[[#This Row],[Kvinneandel]]&lt;=G$434,G$434,IF(Tabell2[[#This Row],[Kvinneandel]]&gt;=G$435,G$435,Tabell2[[#This Row],[Kvinneandel]]))</f>
        <v>9.287115761935906E-2</v>
      </c>
      <c r="R87" s="24">
        <f>IF(Tabell2[[#This Row],[Eldreandel]]&lt;=H$434,H$434,IF(Tabell2[[#This Row],[Eldreandel]]&gt;=H$435,H$435,Tabell2[[#This Row],[Eldreandel]]))</f>
        <v>0.20863309352517986</v>
      </c>
      <c r="S87" s="24">
        <f>IF(Tabell2[[#This Row],[Sysselsettingsvekst10]]&lt;=I$434,I$434,IF(Tabell2[[#This Row],[Sysselsettingsvekst10]]&gt;=I$435,I$435,Tabell2[[#This Row],[Sysselsettingsvekst10]]))</f>
        <v>-2.7667984189723271E-2</v>
      </c>
      <c r="T87" s="24">
        <f>IF(Tabell2[[#This Row],[Yrkesaktivandel]]&lt;=J$434,J$434,IF(Tabell2[[#This Row],[Yrkesaktivandel]]&gt;=J$435,J$435,Tabell2[[#This Row],[Yrkesaktivandel]]))</f>
        <v>0.92298362644026688</v>
      </c>
      <c r="U87" s="24">
        <f>IF(Tabell2[[#This Row],[Inntekt]]&lt;=K$434,K$434,IF(Tabell2[[#This Row],[Inntekt]]&gt;=K$435,K$435,Tabell2[[#This Row],[Inntekt]]))</f>
        <v>351800</v>
      </c>
      <c r="V87" s="7">
        <f>IF(Tabell2[[#This Row],[NIBR11-T]]&lt;=L$437,100,IF(Tabell2[[#This Row],[NIBR11-T]]&gt;=L$436,0,100*(L$436-Tabell2[[#This Row],[NIBR11-T]])/L$439))</f>
        <v>10</v>
      </c>
      <c r="W87" s="7">
        <f>(M$436-Tabell2[[#This Row],[ReisetidOslo-T]])*100/M$439</f>
        <v>69.158318098869714</v>
      </c>
      <c r="X87" s="7">
        <f>100-(N$436-Tabell2[[#This Row],[Beftettland-T]])*100/N$439</f>
        <v>1.0800688128512093</v>
      </c>
      <c r="Y87" s="7">
        <f>100-(O$436-Tabell2[[#This Row],[Beftettotal-T]])*100/O$439</f>
        <v>1.1016776662879266</v>
      </c>
      <c r="Z87" s="7">
        <f>100-(P$436-Tabell2[[#This Row],[Befvekst10-T]])*100/P$439</f>
        <v>5.6735022986918153</v>
      </c>
      <c r="AA87" s="7">
        <f>100-(Q$436-Tabell2[[#This Row],[Kvinneandel-T]])*100/Q$439</f>
        <v>8.798890561421203</v>
      </c>
      <c r="AB87" s="7">
        <f>(R$436-Tabell2[[#This Row],[Eldreandel-T]])*100/R$439</f>
        <v>12.62282098994374</v>
      </c>
      <c r="AC87" s="7">
        <f>100-(S$436-Tabell2[[#This Row],[Sysselsettingsvekst10-T]])*100/S$439</f>
        <v>21.180925027658873</v>
      </c>
      <c r="AD87" s="7">
        <f>100-(T$436-Tabell2[[#This Row],[Yrkesaktivandel-T]])*100/T$439</f>
        <v>87.526512206949135</v>
      </c>
      <c r="AE87" s="7">
        <f>100-(U$436-Tabell2[[#This Row],[Inntekt-T]])*100/U$439</f>
        <v>8.3399164879810428</v>
      </c>
      <c r="AF87" s="7">
        <v>2</v>
      </c>
      <c r="AG87" s="7">
        <v>6.9158318098869715</v>
      </c>
      <c r="AH87" s="7">
        <v>0.11016776662879267</v>
      </c>
      <c r="AI87" s="7">
        <v>1.1347004597383632</v>
      </c>
      <c r="AJ87" s="7">
        <v>0.43994452807106016</v>
      </c>
      <c r="AK87" s="7">
        <v>0.63114104949718708</v>
      </c>
      <c r="AL87" s="7">
        <v>2.1180925027658875</v>
      </c>
      <c r="AM87" s="7">
        <v>8.7526512206949132</v>
      </c>
      <c r="AN87" s="7">
        <v>0.83399164879810428</v>
      </c>
      <c r="AO8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22.936520986081277</v>
      </c>
    </row>
    <row r="88" spans="1:41" x14ac:dyDescent="0.3">
      <c r="A88" s="2" t="s">
        <v>85</v>
      </c>
      <c r="B88">
        <f>'Rådata-K'!N87</f>
        <v>5</v>
      </c>
      <c r="C88" s="7">
        <f>'Rådata-K'!M87</f>
        <v>131.26666666700001</v>
      </c>
      <c r="D88" s="24">
        <f>'Rådata-K'!O87</f>
        <v>2.9836250705815925</v>
      </c>
      <c r="E88" s="24">
        <f>'Rådata-K'!P87</f>
        <v>2.8770554285092018</v>
      </c>
      <c r="F88" s="24">
        <f>'Rådata-K'!Q87</f>
        <v>-4.8956083513318926E-2</v>
      </c>
      <c r="G88" s="24">
        <f>'Rådata-K'!R87</f>
        <v>8.5541256623769865E-2</v>
      </c>
      <c r="H88" s="24">
        <f>'Rådata-K'!S87</f>
        <v>0.21953065859197576</v>
      </c>
      <c r="I88" s="24">
        <f>'Rådata-K'!T87</f>
        <v>-2.1505376344086002E-2</v>
      </c>
      <c r="J88" s="24">
        <f>'Rådata-K'!U87</f>
        <v>0.92101551480959098</v>
      </c>
      <c r="K88" s="24">
        <f>'Rådata-K'!L87</f>
        <v>295900</v>
      </c>
      <c r="L88" s="24">
        <f>Tabell2[[#This Row],[NIBR11]]</f>
        <v>5</v>
      </c>
      <c r="M88" s="24">
        <f>IF(Tabell2[[#This Row],[ReisetidOslo]]&lt;=C$434,C$434,IF(Tabell2[[#This Row],[ReisetidOslo]]&gt;=C$435,C$435,Tabell2[[#This Row],[ReisetidOslo]]))</f>
        <v>131.26666666700001</v>
      </c>
      <c r="N88" s="24">
        <f>IF(Tabell2[[#This Row],[Beftettland]]&lt;=D$434,D$434,IF(Tabell2[[#This Row],[Beftettland]]&gt;=D$435,D$435,Tabell2[[#This Row],[Beftettland]]))</f>
        <v>2.9836250705815925</v>
      </c>
      <c r="O88" s="24">
        <f>IF(Tabell2[[#This Row],[Beftettotal]]&lt;=E$434,E$434,IF(Tabell2[[#This Row],[Beftettotal]]&gt;=E$435,E$435,Tabell2[[#This Row],[Beftettotal]]))</f>
        <v>2.8770554285092018</v>
      </c>
      <c r="P88" s="24">
        <f>IF(Tabell2[[#This Row],[Befvekst10]]&lt;=F$434,F$434,IF(Tabell2[[#This Row],[Befvekst10]]&gt;=F$435,F$435,Tabell2[[#This Row],[Befvekst10]]))</f>
        <v>-4.8956083513318926E-2</v>
      </c>
      <c r="Q88" s="24">
        <f>IF(Tabell2[[#This Row],[Kvinneandel]]&lt;=G$434,G$434,IF(Tabell2[[#This Row],[Kvinneandel]]&gt;=G$435,G$435,Tabell2[[#This Row],[Kvinneandel]]))</f>
        <v>8.9521819157910881E-2</v>
      </c>
      <c r="R88" s="24">
        <f>IF(Tabell2[[#This Row],[Eldreandel]]&lt;=H$434,H$434,IF(Tabell2[[#This Row],[Eldreandel]]&gt;=H$435,H$435,Tabell2[[#This Row],[Eldreandel]]))</f>
        <v>0.21953065859197576</v>
      </c>
      <c r="S88" s="24">
        <f>IF(Tabell2[[#This Row],[Sysselsettingsvekst10]]&lt;=I$434,I$434,IF(Tabell2[[#This Row],[Sysselsettingsvekst10]]&gt;=I$435,I$435,Tabell2[[#This Row],[Sysselsettingsvekst10]]))</f>
        <v>-2.1505376344086002E-2</v>
      </c>
      <c r="T88" s="24">
        <f>IF(Tabell2[[#This Row],[Yrkesaktivandel]]&lt;=J$434,J$434,IF(Tabell2[[#This Row],[Yrkesaktivandel]]&gt;=J$435,J$435,Tabell2[[#This Row],[Yrkesaktivandel]]))</f>
        <v>0.92101551480959098</v>
      </c>
      <c r="U88" s="24">
        <f>IF(Tabell2[[#This Row],[Inntekt]]&lt;=K$434,K$434,IF(Tabell2[[#This Row],[Inntekt]]&gt;=K$435,K$435,Tabell2[[#This Row],[Inntekt]]))</f>
        <v>344410</v>
      </c>
      <c r="V88" s="7">
        <f>IF(Tabell2[[#This Row],[NIBR11-T]]&lt;=L$437,100,IF(Tabell2[[#This Row],[NIBR11-T]]&gt;=L$436,0,100*(L$436-Tabell2[[#This Row],[NIBR11-T]])/L$439))</f>
        <v>60</v>
      </c>
      <c r="W88" s="7">
        <f>(M$436-Tabell2[[#This Row],[ReisetidOslo-T]])*100/M$439</f>
        <v>65.458135283221083</v>
      </c>
      <c r="X88" s="7">
        <f>100-(N$436-Tabell2[[#This Row],[Beftettland-T]])*100/N$439</f>
        <v>1.1695327888975982</v>
      </c>
      <c r="Y88" s="7">
        <f>100-(O$436-Tabell2[[#This Row],[Beftettotal-T]])*100/O$439</f>
        <v>1.1933127161979371</v>
      </c>
      <c r="Z88" s="7">
        <f>100-(P$436-Tabell2[[#This Row],[Befvekst10-T]])*100/P$439</f>
        <v>8.9479631879444383</v>
      </c>
      <c r="AA88" s="7">
        <f>100-(Q$436-Tabell2[[#This Row],[Kvinneandel-T]])*100/Q$439</f>
        <v>0</v>
      </c>
      <c r="AB88" s="7">
        <f>(R$436-Tabell2[[#This Row],[Eldreandel-T]])*100/R$439</f>
        <v>0.86157121441132278</v>
      </c>
      <c r="AC88" s="7">
        <f>100-(S$436-Tabell2[[#This Row],[Sysselsettingsvekst10-T]])*100/S$439</f>
        <v>23.192100114652192</v>
      </c>
      <c r="AD88" s="7">
        <f>100-(T$436-Tabell2[[#This Row],[Yrkesaktivandel-T]])*100/T$439</f>
        <v>86.138415231974093</v>
      </c>
      <c r="AE88" s="7">
        <f>100-(U$436-Tabell2[[#This Row],[Inntekt-T]])*100/U$439</f>
        <v>0</v>
      </c>
      <c r="AF88" s="7">
        <v>12</v>
      </c>
      <c r="AG88" s="7">
        <v>6.5458135283221086</v>
      </c>
      <c r="AH88" s="7">
        <v>0.11933127161979372</v>
      </c>
      <c r="AI88" s="7">
        <v>1.7895926375888878</v>
      </c>
      <c r="AJ88" s="7">
        <v>0</v>
      </c>
      <c r="AK88" s="7">
        <v>4.3078560720566143E-2</v>
      </c>
      <c r="AL88" s="7">
        <v>2.3192100114652194</v>
      </c>
      <c r="AM88" s="7">
        <v>8.6138415231974097</v>
      </c>
      <c r="AN88" s="7">
        <v>0</v>
      </c>
      <c r="AO8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31.430867532913986</v>
      </c>
    </row>
    <row r="89" spans="1:41" x14ac:dyDescent="0.3">
      <c r="A89" s="2" t="s">
        <v>86</v>
      </c>
      <c r="B89">
        <f>'Rådata-K'!N88</f>
        <v>10</v>
      </c>
      <c r="C89" s="7">
        <f>'Rådata-K'!M88</f>
        <v>138.65</v>
      </c>
      <c r="D89" s="24">
        <f>'Rådata-K'!O88</f>
        <v>7.6054314415931605</v>
      </c>
      <c r="E89" s="24">
        <f>'Rådata-K'!P88</f>
        <v>7.1239465207607111</v>
      </c>
      <c r="F89" s="24">
        <f>'Rådata-K'!Q88</f>
        <v>5.1361867704280417E-3</v>
      </c>
      <c r="G89" s="24">
        <f>'Rådata-K'!R88</f>
        <v>0.10808299783214617</v>
      </c>
      <c r="H89" s="24">
        <f>'Rådata-K'!S88</f>
        <v>0.18132548776711055</v>
      </c>
      <c r="I89" s="24">
        <f>'Rådata-K'!T88</f>
        <v>-5.5527511357900128E-3</v>
      </c>
      <c r="J89" s="24">
        <f>'Rådata-K'!U88</f>
        <v>0.9275599128540305</v>
      </c>
      <c r="K89" s="24">
        <f>'Rådata-K'!L88</f>
        <v>363400</v>
      </c>
      <c r="L89" s="24">
        <f>Tabell2[[#This Row],[NIBR11]]</f>
        <v>10</v>
      </c>
      <c r="M89" s="24">
        <f>IF(Tabell2[[#This Row],[ReisetidOslo]]&lt;=C$434,C$434,IF(Tabell2[[#This Row],[ReisetidOslo]]&gt;=C$435,C$435,Tabell2[[#This Row],[ReisetidOslo]]))</f>
        <v>138.65</v>
      </c>
      <c r="N89" s="24">
        <f>IF(Tabell2[[#This Row],[Beftettland]]&lt;=D$434,D$434,IF(Tabell2[[#This Row],[Beftettland]]&gt;=D$435,D$435,Tabell2[[#This Row],[Beftettland]]))</f>
        <v>7.6054314415931605</v>
      </c>
      <c r="O89" s="24">
        <f>IF(Tabell2[[#This Row],[Beftettotal]]&lt;=E$434,E$434,IF(Tabell2[[#This Row],[Beftettotal]]&gt;=E$435,E$435,Tabell2[[#This Row],[Beftettotal]]))</f>
        <v>7.1239465207607111</v>
      </c>
      <c r="P89" s="24">
        <f>IF(Tabell2[[#This Row],[Befvekst10]]&lt;=F$434,F$434,IF(Tabell2[[#This Row],[Befvekst10]]&gt;=F$435,F$435,Tabell2[[#This Row],[Befvekst10]]))</f>
        <v>5.1361867704280417E-3</v>
      </c>
      <c r="Q89" s="24">
        <f>IF(Tabell2[[#This Row],[Kvinneandel]]&lt;=G$434,G$434,IF(Tabell2[[#This Row],[Kvinneandel]]&gt;=G$435,G$435,Tabell2[[#This Row],[Kvinneandel]]))</f>
        <v>0.10808299783214617</v>
      </c>
      <c r="R89" s="24">
        <f>IF(Tabell2[[#This Row],[Eldreandel]]&lt;=H$434,H$434,IF(Tabell2[[#This Row],[Eldreandel]]&gt;=H$435,H$435,Tabell2[[#This Row],[Eldreandel]]))</f>
        <v>0.18132548776711055</v>
      </c>
      <c r="S89" s="24">
        <f>IF(Tabell2[[#This Row],[Sysselsettingsvekst10]]&lt;=I$434,I$434,IF(Tabell2[[#This Row],[Sysselsettingsvekst10]]&gt;=I$435,I$435,Tabell2[[#This Row],[Sysselsettingsvekst10]]))</f>
        <v>-5.5527511357900128E-3</v>
      </c>
      <c r="T89" s="24">
        <f>IF(Tabell2[[#This Row],[Yrkesaktivandel]]&lt;=J$434,J$434,IF(Tabell2[[#This Row],[Yrkesaktivandel]]&gt;=J$435,J$435,Tabell2[[#This Row],[Yrkesaktivandel]]))</f>
        <v>0.9275599128540305</v>
      </c>
      <c r="U89" s="24">
        <f>IF(Tabell2[[#This Row],[Inntekt]]&lt;=K$434,K$434,IF(Tabell2[[#This Row],[Inntekt]]&gt;=K$435,K$435,Tabell2[[#This Row],[Inntekt]]))</f>
        <v>363400</v>
      </c>
      <c r="V89" s="7">
        <f>IF(Tabell2[[#This Row],[NIBR11-T]]&lt;=L$437,100,IF(Tabell2[[#This Row],[NIBR11-T]]&gt;=L$436,0,100*(L$436-Tabell2[[#This Row],[NIBR11-T]])/L$439))</f>
        <v>10</v>
      </c>
      <c r="W89" s="7">
        <f>(M$436-Tabell2[[#This Row],[ReisetidOslo-T]])*100/M$439</f>
        <v>62.218647166365834</v>
      </c>
      <c r="X89" s="7">
        <f>100-(N$436-Tabell2[[#This Row],[Beftettland-T]])*100/N$439</f>
        <v>4.5883002651889342</v>
      </c>
      <c r="Y89" s="7">
        <f>100-(O$436-Tabell2[[#This Row],[Beftettotal-T]])*100/O$439</f>
        <v>4.4440469415301322</v>
      </c>
      <c r="Z89" s="7">
        <f>100-(P$436-Tabell2[[#This Row],[Befvekst10-T]])*100/P$439</f>
        <v>30.842407398441694</v>
      </c>
      <c r="AA89" s="7">
        <f>100-(Q$436-Tabell2[[#This Row],[Kvinneandel-T]])*100/Q$439</f>
        <v>48.761205153021884</v>
      </c>
      <c r="AB89" s="7">
        <f>(R$436-Tabell2[[#This Row],[Eldreandel-T]])*100/R$439</f>
        <v>42.094686505205239</v>
      </c>
      <c r="AC89" s="7">
        <f>100-(S$436-Tabell2[[#This Row],[Sysselsettingsvekst10-T]])*100/S$439</f>
        <v>28.398260103199831</v>
      </c>
      <c r="AD89" s="7">
        <f>100-(T$436-Tabell2[[#This Row],[Yrkesaktivandel-T]])*100/T$439</f>
        <v>90.754138744262534</v>
      </c>
      <c r="AE89" s="7">
        <f>100-(U$436-Tabell2[[#This Row],[Inntekt-T]])*100/U$439</f>
        <v>21.430989730278753</v>
      </c>
      <c r="AF89" s="7">
        <v>2</v>
      </c>
      <c r="AG89" s="7">
        <v>6.2218647166365839</v>
      </c>
      <c r="AH89" s="7">
        <v>0.44440469415301326</v>
      </c>
      <c r="AI89" s="7">
        <v>6.1684814796883387</v>
      </c>
      <c r="AJ89" s="7">
        <v>2.4380602576510944</v>
      </c>
      <c r="AK89" s="7">
        <v>2.1047343252602619</v>
      </c>
      <c r="AL89" s="7">
        <v>2.8398260103199835</v>
      </c>
      <c r="AM89" s="7">
        <v>9.0754138744262534</v>
      </c>
      <c r="AN89" s="7">
        <v>2.1430989730278753</v>
      </c>
      <c r="AO8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33.4358843311634</v>
      </c>
    </row>
    <row r="90" spans="1:41" x14ac:dyDescent="0.3">
      <c r="A90" s="2" t="s">
        <v>87</v>
      </c>
      <c r="B90">
        <f>'Rådata-K'!N89</f>
        <v>10</v>
      </c>
      <c r="C90" s="7">
        <f>'Rådata-K'!M89</f>
        <v>158.05000000000001</v>
      </c>
      <c r="D90" s="24">
        <f>'Rådata-K'!O89</f>
        <v>5.150010689597833</v>
      </c>
      <c r="E90" s="24">
        <f>'Rådata-K'!P89</f>
        <v>4.6799784133837017</v>
      </c>
      <c r="F90" s="24">
        <f>'Rådata-K'!Q89</f>
        <v>-2.2101939557961248E-2</v>
      </c>
      <c r="G90" s="24">
        <f>'Rådata-K'!R89</f>
        <v>9.5018450184501849E-2</v>
      </c>
      <c r="H90" s="24">
        <f>'Rådata-K'!S89</f>
        <v>0.18773062730627307</v>
      </c>
      <c r="I90" s="24">
        <f>'Rådata-K'!T89</f>
        <v>-6.3016528925619819E-2</v>
      </c>
      <c r="J90" s="24">
        <f>'Rådata-K'!U89</f>
        <v>0.95570139458572601</v>
      </c>
      <c r="K90" s="24">
        <f>'Rådata-K'!L89</f>
        <v>364100</v>
      </c>
      <c r="L90" s="24">
        <f>Tabell2[[#This Row],[NIBR11]]</f>
        <v>10</v>
      </c>
      <c r="M90" s="24">
        <f>IF(Tabell2[[#This Row],[ReisetidOslo]]&lt;=C$434,C$434,IF(Tabell2[[#This Row],[ReisetidOslo]]&gt;=C$435,C$435,Tabell2[[#This Row],[ReisetidOslo]]))</f>
        <v>158.05000000000001</v>
      </c>
      <c r="N90" s="24">
        <f>IF(Tabell2[[#This Row],[Beftettland]]&lt;=D$434,D$434,IF(Tabell2[[#This Row],[Beftettland]]&gt;=D$435,D$435,Tabell2[[#This Row],[Beftettland]]))</f>
        <v>5.150010689597833</v>
      </c>
      <c r="O90" s="24">
        <f>IF(Tabell2[[#This Row],[Beftettotal]]&lt;=E$434,E$434,IF(Tabell2[[#This Row],[Beftettotal]]&gt;=E$435,E$435,Tabell2[[#This Row],[Beftettotal]]))</f>
        <v>4.6799784133837017</v>
      </c>
      <c r="P90" s="24">
        <f>IF(Tabell2[[#This Row],[Befvekst10]]&lt;=F$434,F$434,IF(Tabell2[[#This Row],[Befvekst10]]&gt;=F$435,F$435,Tabell2[[#This Row],[Befvekst10]]))</f>
        <v>-2.2101939557961248E-2</v>
      </c>
      <c r="Q90" s="24">
        <f>IF(Tabell2[[#This Row],[Kvinneandel]]&lt;=G$434,G$434,IF(Tabell2[[#This Row],[Kvinneandel]]&gt;=G$435,G$435,Tabell2[[#This Row],[Kvinneandel]]))</f>
        <v>9.5018450184501849E-2</v>
      </c>
      <c r="R90" s="24">
        <f>IF(Tabell2[[#This Row],[Eldreandel]]&lt;=H$434,H$434,IF(Tabell2[[#This Row],[Eldreandel]]&gt;=H$435,H$435,Tabell2[[#This Row],[Eldreandel]]))</f>
        <v>0.18773062730627307</v>
      </c>
      <c r="S90" s="24">
        <f>IF(Tabell2[[#This Row],[Sysselsettingsvekst10]]&lt;=I$434,I$434,IF(Tabell2[[#This Row],[Sysselsettingsvekst10]]&gt;=I$435,I$435,Tabell2[[#This Row],[Sysselsettingsvekst10]]))</f>
        <v>-6.3016528925619819E-2</v>
      </c>
      <c r="T90" s="24">
        <f>IF(Tabell2[[#This Row],[Yrkesaktivandel]]&lt;=J$434,J$434,IF(Tabell2[[#This Row],[Yrkesaktivandel]]&gt;=J$435,J$435,Tabell2[[#This Row],[Yrkesaktivandel]]))</f>
        <v>0.94066914614326791</v>
      </c>
      <c r="U90" s="24">
        <f>IF(Tabell2[[#This Row],[Inntekt]]&lt;=K$434,K$434,IF(Tabell2[[#This Row],[Inntekt]]&gt;=K$435,K$435,Tabell2[[#This Row],[Inntekt]]))</f>
        <v>364100</v>
      </c>
      <c r="V90" s="7">
        <f>IF(Tabell2[[#This Row],[NIBR11-T]]&lt;=L$437,100,IF(Tabell2[[#This Row],[NIBR11-T]]&gt;=L$436,0,100*(L$436-Tabell2[[#This Row],[NIBR11-T]])/L$439))</f>
        <v>10</v>
      </c>
      <c r="W90" s="7">
        <f>(M$436-Tabell2[[#This Row],[ReisetidOslo-T]])*100/M$439</f>
        <v>53.706764168194859</v>
      </c>
      <c r="X90" s="7">
        <f>100-(N$436-Tabell2[[#This Row],[Beftettland-T]])*100/N$439</f>
        <v>2.7720163420493407</v>
      </c>
      <c r="Y90" s="7">
        <f>100-(O$436-Tabell2[[#This Row],[Beftettotal-T]])*100/O$439</f>
        <v>2.5733394993812198</v>
      </c>
      <c r="Z90" s="7">
        <f>100-(P$436-Tabell2[[#This Row],[Befvekst10-T]])*100/P$439</f>
        <v>19.817474738616099</v>
      </c>
      <c r="AA90" s="7">
        <f>100-(Q$436-Tabell2[[#This Row],[Kvinneandel-T]])*100/Q$439</f>
        <v>14.439942518850287</v>
      </c>
      <c r="AB90" s="7">
        <f>(R$436-Tabell2[[#This Row],[Eldreandel-T]])*100/R$439</f>
        <v>35.181908696081472</v>
      </c>
      <c r="AC90" s="7">
        <f>100-(S$436-Tabell2[[#This Row],[Sysselsettingsvekst10-T]])*100/S$439</f>
        <v>9.6448814702820016</v>
      </c>
      <c r="AD90" s="7">
        <f>100-(T$436-Tabell2[[#This Row],[Yrkesaktivandel-T]])*100/T$439</f>
        <v>100</v>
      </c>
      <c r="AE90" s="7">
        <f>100-(U$436-Tabell2[[#This Row],[Inntekt-T]])*100/U$439</f>
        <v>22.220968288003618</v>
      </c>
      <c r="AF90" s="7">
        <v>2</v>
      </c>
      <c r="AG90" s="7">
        <v>5.370676416819486</v>
      </c>
      <c r="AH90" s="7">
        <v>0.25733394993812198</v>
      </c>
      <c r="AI90" s="7">
        <v>3.9634949477232198</v>
      </c>
      <c r="AJ90" s="7">
        <v>0.72199712594251442</v>
      </c>
      <c r="AK90" s="7">
        <v>1.7590954348040737</v>
      </c>
      <c r="AL90" s="7">
        <v>0.96448814702820018</v>
      </c>
      <c r="AM90" s="7">
        <v>10</v>
      </c>
      <c r="AN90" s="7">
        <v>2.2220968288003617</v>
      </c>
      <c r="AO9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27.259182851055975</v>
      </c>
    </row>
    <row r="91" spans="1:41" x14ac:dyDescent="0.3">
      <c r="A91" s="2" t="s">
        <v>88</v>
      </c>
      <c r="B91">
        <f>'Rådata-K'!N90</f>
        <v>10</v>
      </c>
      <c r="C91" s="7">
        <f>'Rådata-K'!M90</f>
        <v>153.5</v>
      </c>
      <c r="D91" s="24">
        <f>'Rådata-K'!O90</f>
        <v>3.6559750212886746</v>
      </c>
      <c r="E91" s="24">
        <f>'Rådata-K'!P90</f>
        <v>3.3433356522100279</v>
      </c>
      <c r="F91" s="24">
        <f>'Rådata-K'!Q90</f>
        <v>2.6458399744979211E-2</v>
      </c>
      <c r="G91" s="24">
        <f>'Rådata-K'!R90</f>
        <v>0.11397515527950311</v>
      </c>
      <c r="H91" s="24">
        <f>'Rådata-K'!S90</f>
        <v>0.18043478260869567</v>
      </c>
      <c r="I91" s="24">
        <f>'Rådata-K'!T90</f>
        <v>1.7804154302670572E-2</v>
      </c>
      <c r="J91" s="24">
        <f>'Rådata-K'!U90</f>
        <v>0.96603773584905661</v>
      </c>
      <c r="K91" s="24">
        <f>'Rådata-K'!L90</f>
        <v>373600</v>
      </c>
      <c r="L91" s="24">
        <f>Tabell2[[#This Row],[NIBR11]]</f>
        <v>10</v>
      </c>
      <c r="M91" s="24">
        <f>IF(Tabell2[[#This Row],[ReisetidOslo]]&lt;=C$434,C$434,IF(Tabell2[[#This Row],[ReisetidOslo]]&gt;=C$435,C$435,Tabell2[[#This Row],[ReisetidOslo]]))</f>
        <v>153.5</v>
      </c>
      <c r="N91" s="24">
        <f>IF(Tabell2[[#This Row],[Beftettland]]&lt;=D$434,D$434,IF(Tabell2[[#This Row],[Beftettland]]&gt;=D$435,D$435,Tabell2[[#This Row],[Beftettland]]))</f>
        <v>3.6559750212886746</v>
      </c>
      <c r="O91" s="24">
        <f>IF(Tabell2[[#This Row],[Beftettotal]]&lt;=E$434,E$434,IF(Tabell2[[#This Row],[Beftettotal]]&gt;=E$435,E$435,Tabell2[[#This Row],[Beftettotal]]))</f>
        <v>3.3433356522100279</v>
      </c>
      <c r="P91" s="24">
        <f>IF(Tabell2[[#This Row],[Befvekst10]]&lt;=F$434,F$434,IF(Tabell2[[#This Row],[Befvekst10]]&gt;=F$435,F$435,Tabell2[[#This Row],[Befvekst10]]))</f>
        <v>2.6458399744979211E-2</v>
      </c>
      <c r="Q91" s="24">
        <f>IF(Tabell2[[#This Row],[Kvinneandel]]&lt;=G$434,G$434,IF(Tabell2[[#This Row],[Kvinneandel]]&gt;=G$435,G$435,Tabell2[[#This Row],[Kvinneandel]]))</f>
        <v>0.11397515527950311</v>
      </c>
      <c r="R91" s="24">
        <f>IF(Tabell2[[#This Row],[Eldreandel]]&lt;=H$434,H$434,IF(Tabell2[[#This Row],[Eldreandel]]&gt;=H$435,H$435,Tabell2[[#This Row],[Eldreandel]]))</f>
        <v>0.18043478260869567</v>
      </c>
      <c r="S91" s="24">
        <f>IF(Tabell2[[#This Row],[Sysselsettingsvekst10]]&lt;=I$434,I$434,IF(Tabell2[[#This Row],[Sysselsettingsvekst10]]&gt;=I$435,I$435,Tabell2[[#This Row],[Sysselsettingsvekst10]]))</f>
        <v>1.7804154302670572E-2</v>
      </c>
      <c r="T91" s="24">
        <f>IF(Tabell2[[#This Row],[Yrkesaktivandel]]&lt;=J$434,J$434,IF(Tabell2[[#This Row],[Yrkesaktivandel]]&gt;=J$435,J$435,Tabell2[[#This Row],[Yrkesaktivandel]]))</f>
        <v>0.94066914614326791</v>
      </c>
      <c r="U91" s="24">
        <f>IF(Tabell2[[#This Row],[Inntekt]]&lt;=K$434,K$434,IF(Tabell2[[#This Row],[Inntekt]]&gt;=K$435,K$435,Tabell2[[#This Row],[Inntekt]]))</f>
        <v>373600</v>
      </c>
      <c r="V91" s="7">
        <f>IF(Tabell2[[#This Row],[NIBR11-T]]&lt;=L$437,100,IF(Tabell2[[#This Row],[NIBR11-T]]&gt;=L$436,0,100*(L$436-Tabell2[[#This Row],[NIBR11-T]])/L$439))</f>
        <v>10</v>
      </c>
      <c r="W91" s="7">
        <f>(M$436-Tabell2[[#This Row],[ReisetidOslo-T]])*100/M$439</f>
        <v>55.703107861064865</v>
      </c>
      <c r="X91" s="7">
        <f>100-(N$436-Tabell2[[#This Row],[Beftettland-T]])*100/N$439</f>
        <v>1.6668725646572682</v>
      </c>
      <c r="Y91" s="7">
        <f>100-(O$436-Tabell2[[#This Row],[Beftettotal-T]])*100/O$439</f>
        <v>1.5502215817314209</v>
      </c>
      <c r="Z91" s="7">
        <f>100-(P$436-Tabell2[[#This Row],[Befvekst10-T]])*100/P$439</f>
        <v>39.472808747225933</v>
      </c>
      <c r="AA91" s="7">
        <f>100-(Q$436-Tabell2[[#This Row],[Kvinneandel-T]])*100/Q$439</f>
        <v>64.240216649381736</v>
      </c>
      <c r="AB91" s="7">
        <f>(R$436-Tabell2[[#This Row],[Eldreandel-T]])*100/R$439</f>
        <v>43.05598435295947</v>
      </c>
      <c r="AC91" s="7">
        <f>100-(S$436-Tabell2[[#This Row],[Sysselsettingsvekst10-T]])*100/S$439</f>
        <v>36.020816576648954</v>
      </c>
      <c r="AD91" s="7">
        <f>100-(T$436-Tabell2[[#This Row],[Yrkesaktivandel-T]])*100/T$439</f>
        <v>100</v>
      </c>
      <c r="AE91" s="7">
        <f>100-(U$436-Tabell2[[#This Row],[Inntekt-T]])*100/U$439</f>
        <v>32.942105857126734</v>
      </c>
      <c r="AF91" s="7">
        <v>2</v>
      </c>
      <c r="AG91" s="7">
        <v>5.5703107861064867</v>
      </c>
      <c r="AH91" s="7">
        <v>0.1550221581731421</v>
      </c>
      <c r="AI91" s="7">
        <v>7.8945617494451872</v>
      </c>
      <c r="AJ91" s="7">
        <v>3.2120108324690868</v>
      </c>
      <c r="AK91" s="7">
        <v>2.1527992176479738</v>
      </c>
      <c r="AL91" s="7">
        <v>3.6020816576648955</v>
      </c>
      <c r="AM91" s="7">
        <v>10</v>
      </c>
      <c r="AN91" s="7">
        <v>3.2942105857126736</v>
      </c>
      <c r="AO9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37.880996987219447</v>
      </c>
    </row>
    <row r="92" spans="1:41" x14ac:dyDescent="0.3">
      <c r="A92" s="2" t="s">
        <v>89</v>
      </c>
      <c r="B92">
        <f>'Rådata-K'!N91</f>
        <v>10</v>
      </c>
      <c r="C92" s="7">
        <f>'Rådata-K'!M91</f>
        <v>181</v>
      </c>
      <c r="D92" s="24">
        <f>'Rådata-K'!O91</f>
        <v>1.2127221417130654</v>
      </c>
      <c r="E92" s="24">
        <f>'Rådata-K'!P91</f>
        <v>1.0561626091866221</v>
      </c>
      <c r="F92" s="24">
        <f>'Rådata-K'!Q91</f>
        <v>-2.0935960591133007E-2</v>
      </c>
      <c r="G92" s="24">
        <f>'Rådata-K'!R91</f>
        <v>0.10628930817610063</v>
      </c>
      <c r="H92" s="24">
        <f>'Rådata-K'!S91</f>
        <v>0.19433962264150945</v>
      </c>
      <c r="I92" s="24">
        <f>'Rådata-K'!T91</f>
        <v>5.1246537396121949E-2</v>
      </c>
      <c r="J92" s="24">
        <f>'Rådata-K'!U91</f>
        <v>0.94078947368421051</v>
      </c>
      <c r="K92" s="24">
        <f>'Rådata-K'!L91</f>
        <v>328800</v>
      </c>
      <c r="L92" s="24">
        <f>Tabell2[[#This Row],[NIBR11]]</f>
        <v>10</v>
      </c>
      <c r="M92" s="24">
        <f>IF(Tabell2[[#This Row],[ReisetidOslo]]&lt;=C$434,C$434,IF(Tabell2[[#This Row],[ReisetidOslo]]&gt;=C$435,C$435,Tabell2[[#This Row],[ReisetidOslo]]))</f>
        <v>181</v>
      </c>
      <c r="N92" s="24">
        <f>IF(Tabell2[[#This Row],[Beftettland]]&lt;=D$434,D$434,IF(Tabell2[[#This Row],[Beftettland]]&gt;=D$435,D$435,Tabell2[[#This Row],[Beftettland]]))</f>
        <v>1.4025423756281519</v>
      </c>
      <c r="O92" s="24">
        <f>IF(Tabell2[[#This Row],[Beftettotal]]&lt;=E$434,E$434,IF(Tabell2[[#This Row],[Beftettotal]]&gt;=E$435,E$435,Tabell2[[#This Row],[Beftettotal]]))</f>
        <v>1.3180632767674032</v>
      </c>
      <c r="P92" s="24">
        <f>IF(Tabell2[[#This Row],[Befvekst10]]&lt;=F$434,F$434,IF(Tabell2[[#This Row],[Befvekst10]]&gt;=F$435,F$435,Tabell2[[#This Row],[Befvekst10]]))</f>
        <v>-2.0935960591133007E-2</v>
      </c>
      <c r="Q92" s="24">
        <f>IF(Tabell2[[#This Row],[Kvinneandel]]&lt;=G$434,G$434,IF(Tabell2[[#This Row],[Kvinneandel]]&gt;=G$435,G$435,Tabell2[[#This Row],[Kvinneandel]]))</f>
        <v>0.10628930817610063</v>
      </c>
      <c r="R92" s="24">
        <f>IF(Tabell2[[#This Row],[Eldreandel]]&lt;=H$434,H$434,IF(Tabell2[[#This Row],[Eldreandel]]&gt;=H$435,H$435,Tabell2[[#This Row],[Eldreandel]]))</f>
        <v>0.19433962264150945</v>
      </c>
      <c r="S92" s="24">
        <f>IF(Tabell2[[#This Row],[Sysselsettingsvekst10]]&lt;=I$434,I$434,IF(Tabell2[[#This Row],[Sysselsettingsvekst10]]&gt;=I$435,I$435,Tabell2[[#This Row],[Sysselsettingsvekst10]]))</f>
        <v>5.1246537396121949E-2</v>
      </c>
      <c r="T92" s="24">
        <f>IF(Tabell2[[#This Row],[Yrkesaktivandel]]&lt;=J$434,J$434,IF(Tabell2[[#This Row],[Yrkesaktivandel]]&gt;=J$435,J$435,Tabell2[[#This Row],[Yrkesaktivandel]]))</f>
        <v>0.94066914614326791</v>
      </c>
      <c r="U92" s="24">
        <f>IF(Tabell2[[#This Row],[Inntekt]]&lt;=K$434,K$434,IF(Tabell2[[#This Row],[Inntekt]]&gt;=K$435,K$435,Tabell2[[#This Row],[Inntekt]]))</f>
        <v>344410</v>
      </c>
      <c r="V92" s="7">
        <f>IF(Tabell2[[#This Row],[NIBR11-T]]&lt;=L$437,100,IF(Tabell2[[#This Row],[NIBR11-T]]&gt;=L$436,0,100*(L$436-Tabell2[[#This Row],[NIBR11-T]])/L$439))</f>
        <v>10</v>
      </c>
      <c r="W92" s="7">
        <f>(M$436-Tabell2[[#This Row],[ReisetidOslo-T]])*100/M$439</f>
        <v>43.637294332729724</v>
      </c>
      <c r="X92" s="7">
        <f>100-(N$436-Tabell2[[#This Row],[Beftettland-T]])*100/N$439</f>
        <v>0</v>
      </c>
      <c r="Y92" s="7">
        <f>100-(O$436-Tabell2[[#This Row],[Beftettotal-T]])*100/O$439</f>
        <v>0</v>
      </c>
      <c r="Z92" s="7">
        <f>100-(P$436-Tabell2[[#This Row],[Befvekst10-T]])*100/P$439</f>
        <v>20.289417611524229</v>
      </c>
      <c r="AA92" s="7">
        <f>100-(Q$436-Tabell2[[#This Row],[Kvinneandel-T]])*100/Q$439</f>
        <v>44.049086874633879</v>
      </c>
      <c r="AB92" s="7">
        <f>(R$436-Tabell2[[#This Row],[Eldreandel-T]])*100/R$439</f>
        <v>28.049118533636701</v>
      </c>
      <c r="AC92" s="7">
        <f>100-(S$436-Tabell2[[#This Row],[Sysselsettingsvekst10-T]])*100/S$439</f>
        <v>46.934781802401659</v>
      </c>
      <c r="AD92" s="7">
        <f>100-(T$436-Tabell2[[#This Row],[Yrkesaktivandel-T]])*100/T$439</f>
        <v>100</v>
      </c>
      <c r="AE92" s="7">
        <f>100-(U$436-Tabell2[[#This Row],[Inntekt-T]])*100/U$439</f>
        <v>0</v>
      </c>
      <c r="AF92" s="7">
        <v>2</v>
      </c>
      <c r="AG92" s="7">
        <v>4.3637294332729724</v>
      </c>
      <c r="AH92" s="7">
        <v>0</v>
      </c>
      <c r="AI92" s="7">
        <v>4.0578835223048459</v>
      </c>
      <c r="AJ92" s="7">
        <v>2.2024543437316941</v>
      </c>
      <c r="AK92" s="7">
        <v>1.4024559266818351</v>
      </c>
      <c r="AL92" s="7">
        <v>4.6934781802401657</v>
      </c>
      <c r="AM92" s="7">
        <v>10</v>
      </c>
      <c r="AN92" s="7">
        <v>0</v>
      </c>
      <c r="AO9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28.720001406231514</v>
      </c>
    </row>
    <row r="93" spans="1:41" x14ac:dyDescent="0.3">
      <c r="A93" s="2" t="s">
        <v>90</v>
      </c>
      <c r="B93">
        <f>'Rådata-K'!N92</f>
        <v>2</v>
      </c>
      <c r="C93" s="7">
        <f>'Rådata-K'!M92</f>
        <v>30.4</v>
      </c>
      <c r="D93" s="24">
        <f>'Rådata-K'!O92</f>
        <v>503.70947399658729</v>
      </c>
      <c r="E93" s="24">
        <f>'Rådata-K'!P92</f>
        <v>495.54777023574923</v>
      </c>
      <c r="F93" s="24">
        <f>'Rådata-K'!Q92</f>
        <v>0.17548780276666842</v>
      </c>
      <c r="G93" s="24">
        <f>'Rådata-K'!R92</f>
        <v>0.13566536563811768</v>
      </c>
      <c r="H93" s="24">
        <f>'Rådata-K'!S92</f>
        <v>0.14987848884306651</v>
      </c>
      <c r="I93" s="24">
        <f>'Rådata-K'!T92</f>
        <v>0.10326053521993228</v>
      </c>
      <c r="J93" s="24">
        <f>'Rådata-K'!U92</f>
        <v>0.79720539136886359</v>
      </c>
      <c r="K93" s="24">
        <f>'Rådata-K'!L92</f>
        <v>410200</v>
      </c>
      <c r="L93" s="24">
        <f>Tabell2[[#This Row],[NIBR11]]</f>
        <v>2</v>
      </c>
      <c r="M93" s="24">
        <f>IF(Tabell2[[#This Row],[ReisetidOslo]]&lt;=C$434,C$434,IF(Tabell2[[#This Row],[ReisetidOslo]]&gt;=C$435,C$435,Tabell2[[#This Row],[ReisetidOslo]]))</f>
        <v>52.54</v>
      </c>
      <c r="N93" s="24">
        <f>IF(Tabell2[[#This Row],[Beftettland]]&lt;=D$434,D$434,IF(Tabell2[[#This Row],[Beftettland]]&gt;=D$435,D$435,Tabell2[[#This Row],[Beftettland]]))</f>
        <v>136.59179999736304</v>
      </c>
      <c r="O93" s="24">
        <f>IF(Tabell2[[#This Row],[Beftettotal]]&lt;=E$434,E$434,IF(Tabell2[[#This Row],[Beftettotal]]&gt;=E$435,E$435,Tabell2[[#This Row],[Beftettotal]]))</f>
        <v>131.96212083018065</v>
      </c>
      <c r="P93" s="24">
        <f>IF(Tabell2[[#This Row],[Befvekst10]]&lt;=F$434,F$434,IF(Tabell2[[#This Row],[Befvekst10]]&gt;=F$435,F$435,Tabell2[[#This Row],[Befvekst10]]))</f>
        <v>0.17548780276666842</v>
      </c>
      <c r="Q93" s="24">
        <f>IF(Tabell2[[#This Row],[Kvinneandel]]&lt;=G$434,G$434,IF(Tabell2[[#This Row],[Kvinneandel]]&gt;=G$435,G$435,Tabell2[[#This Row],[Kvinneandel]]))</f>
        <v>0.12758728250318055</v>
      </c>
      <c r="R93" s="24">
        <f>IF(Tabell2[[#This Row],[Eldreandel]]&lt;=H$434,H$434,IF(Tabell2[[#This Row],[Eldreandel]]&gt;=H$435,H$435,Tabell2[[#This Row],[Eldreandel]]))</f>
        <v>0.14987848884306651</v>
      </c>
      <c r="S93" s="24">
        <f>IF(Tabell2[[#This Row],[Sysselsettingsvekst10]]&lt;=I$434,I$434,IF(Tabell2[[#This Row],[Sysselsettingsvekst10]]&gt;=I$435,I$435,Tabell2[[#This Row],[Sysselsettingsvekst10]]))</f>
        <v>0.10326053521993228</v>
      </c>
      <c r="T93" s="24">
        <f>IF(Tabell2[[#This Row],[Yrkesaktivandel]]&lt;=J$434,J$434,IF(Tabell2[[#This Row],[Yrkesaktivandel]]&gt;=J$435,J$435,Tabell2[[#This Row],[Yrkesaktivandel]]))</f>
        <v>0.79888426611272945</v>
      </c>
      <c r="U93" s="24">
        <f>IF(Tabell2[[#This Row],[Inntekt]]&lt;=K$434,K$434,IF(Tabell2[[#This Row],[Inntekt]]&gt;=K$435,K$435,Tabell2[[#This Row],[Inntekt]]))</f>
        <v>410200</v>
      </c>
      <c r="V93" s="7">
        <f>IF(Tabell2[[#This Row],[NIBR11-T]]&lt;=L$437,100,IF(Tabell2[[#This Row],[NIBR11-T]]&gt;=L$436,0,100*(L$436-Tabell2[[#This Row],[NIBR11-T]])/L$439))</f>
        <v>90</v>
      </c>
      <c r="W93" s="7">
        <f>(M$436-Tabell2[[#This Row],[ReisetidOslo-T]])*100/M$439</f>
        <v>100</v>
      </c>
      <c r="X93" s="7">
        <f>100-(N$436-Tabell2[[#This Row],[Beftettland-T]])*100/N$439</f>
        <v>100</v>
      </c>
      <c r="Y93" s="7">
        <f>100-(O$436-Tabell2[[#This Row],[Beftettotal-T]])*100/O$439</f>
        <v>100</v>
      </c>
      <c r="Z93" s="7">
        <f>100-(P$436-Tabell2[[#This Row],[Befvekst10-T]])*100/P$439</f>
        <v>99.794106652935952</v>
      </c>
      <c r="AA93" s="7">
        <f>100-(Q$436-Tabell2[[#This Row],[Kvinneandel-T]])*100/Q$439</f>
        <v>100</v>
      </c>
      <c r="AB93" s="7">
        <f>(R$436-Tabell2[[#This Row],[Eldreandel-T]])*100/R$439</f>
        <v>76.034012104049864</v>
      </c>
      <c r="AC93" s="7">
        <f>100-(S$436-Tabell2[[#This Row],[Sysselsettingsvekst10-T]])*100/S$439</f>
        <v>63.90961765411479</v>
      </c>
      <c r="AD93" s="7">
        <f>100-(T$436-Tabell2[[#This Row],[Yrkesaktivandel-T]])*100/T$439</f>
        <v>0</v>
      </c>
      <c r="AE93" s="7">
        <f>100-(U$436-Tabell2[[#This Row],[Inntekt-T]])*100/U$439</f>
        <v>74.246699018169508</v>
      </c>
      <c r="AF93" s="7">
        <v>18</v>
      </c>
      <c r="AG93" s="7">
        <v>10</v>
      </c>
      <c r="AH93" s="7">
        <v>10</v>
      </c>
      <c r="AI93" s="7">
        <v>19.958821330587192</v>
      </c>
      <c r="AJ93" s="7">
        <v>5</v>
      </c>
      <c r="AK93" s="7">
        <v>3.8017006052024933</v>
      </c>
      <c r="AL93" s="7">
        <v>6.390961765411479</v>
      </c>
      <c r="AM93" s="7">
        <v>0</v>
      </c>
      <c r="AN93" s="7">
        <v>7.4246699018169515</v>
      </c>
      <c r="AO9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80.576153603018113</v>
      </c>
    </row>
    <row r="94" spans="1:41" x14ac:dyDescent="0.3">
      <c r="A94" s="2" t="s">
        <v>91</v>
      </c>
      <c r="B94">
        <f>'Rådata-K'!N93</f>
        <v>5</v>
      </c>
      <c r="C94" s="7">
        <f>'Rådata-K'!M93</f>
        <v>59.083333333299997</v>
      </c>
      <c r="D94" s="24">
        <f>'Rådata-K'!O93</f>
        <v>35.813910322700394</v>
      </c>
      <c r="E94" s="24">
        <f>'Rådata-K'!P93</f>
        <v>34.060447111929285</v>
      </c>
      <c r="F94" s="24">
        <f>'Rådata-K'!Q93</f>
        <v>0.15861033669311597</v>
      </c>
      <c r="G94" s="24">
        <f>'Rådata-K'!R93</f>
        <v>0.12234849887091401</v>
      </c>
      <c r="H94" s="24">
        <f>'Rådata-K'!S93</f>
        <v>0.15196386924813979</v>
      </c>
      <c r="I94" s="24">
        <f>'Rådata-K'!T93</f>
        <v>0.19824051293521205</v>
      </c>
      <c r="J94" s="24">
        <f>'Rådata-K'!U93</f>
        <v>0.84437294978551602</v>
      </c>
      <c r="K94" s="24">
        <f>'Rådata-K'!L93</f>
        <v>451600</v>
      </c>
      <c r="L94" s="24">
        <f>Tabell2[[#This Row],[NIBR11]]</f>
        <v>5</v>
      </c>
      <c r="M94" s="24">
        <f>IF(Tabell2[[#This Row],[ReisetidOslo]]&lt;=C$434,C$434,IF(Tabell2[[#This Row],[ReisetidOslo]]&gt;=C$435,C$435,Tabell2[[#This Row],[ReisetidOslo]]))</f>
        <v>59.083333333299997</v>
      </c>
      <c r="N94" s="24">
        <f>IF(Tabell2[[#This Row],[Beftettland]]&lt;=D$434,D$434,IF(Tabell2[[#This Row],[Beftettland]]&gt;=D$435,D$435,Tabell2[[#This Row],[Beftettland]]))</f>
        <v>35.813910322700394</v>
      </c>
      <c r="O94" s="24">
        <f>IF(Tabell2[[#This Row],[Beftettotal]]&lt;=E$434,E$434,IF(Tabell2[[#This Row],[Beftettotal]]&gt;=E$435,E$435,Tabell2[[#This Row],[Beftettotal]]))</f>
        <v>34.060447111929285</v>
      </c>
      <c r="P94" s="24">
        <f>IF(Tabell2[[#This Row],[Befvekst10]]&lt;=F$434,F$434,IF(Tabell2[[#This Row],[Befvekst10]]&gt;=F$435,F$435,Tabell2[[#This Row],[Befvekst10]]))</f>
        <v>0.15861033669311597</v>
      </c>
      <c r="Q94" s="24">
        <f>IF(Tabell2[[#This Row],[Kvinneandel]]&lt;=G$434,G$434,IF(Tabell2[[#This Row],[Kvinneandel]]&gt;=G$435,G$435,Tabell2[[#This Row],[Kvinneandel]]))</f>
        <v>0.12234849887091401</v>
      </c>
      <c r="R94" s="24">
        <f>IF(Tabell2[[#This Row],[Eldreandel]]&lt;=H$434,H$434,IF(Tabell2[[#This Row],[Eldreandel]]&gt;=H$435,H$435,Tabell2[[#This Row],[Eldreandel]]))</f>
        <v>0.15196386924813979</v>
      </c>
      <c r="S94" s="24">
        <f>IF(Tabell2[[#This Row],[Sysselsettingsvekst10]]&lt;=I$434,I$434,IF(Tabell2[[#This Row],[Sysselsettingsvekst10]]&gt;=I$435,I$435,Tabell2[[#This Row],[Sysselsettingsvekst10]]))</f>
        <v>0.19824051293521205</v>
      </c>
      <c r="T94" s="24">
        <f>IF(Tabell2[[#This Row],[Yrkesaktivandel]]&lt;=J$434,J$434,IF(Tabell2[[#This Row],[Yrkesaktivandel]]&gt;=J$435,J$435,Tabell2[[#This Row],[Yrkesaktivandel]]))</f>
        <v>0.84437294978551602</v>
      </c>
      <c r="U94" s="24">
        <f>IF(Tabell2[[#This Row],[Inntekt]]&lt;=K$434,K$434,IF(Tabell2[[#This Row],[Inntekt]]&gt;=K$435,K$435,Tabell2[[#This Row],[Inntekt]]))</f>
        <v>433020</v>
      </c>
      <c r="V94" s="7">
        <f>IF(Tabell2[[#This Row],[NIBR11-T]]&lt;=L$437,100,IF(Tabell2[[#This Row],[NIBR11-T]]&gt;=L$436,0,100*(L$436-Tabell2[[#This Row],[NIBR11-T]])/L$439))</f>
        <v>60</v>
      </c>
      <c r="W94" s="7">
        <f>(M$436-Tabell2[[#This Row],[ReisetidOslo-T]])*100/M$439</f>
        <v>97.129067641696807</v>
      </c>
      <c r="X94" s="7">
        <f>100-(N$436-Tabell2[[#This Row],[Beftettland-T]])*100/N$439</f>
        <v>25.454217703714804</v>
      </c>
      <c r="Y94" s="7">
        <f>100-(O$436-Tabell2[[#This Row],[Beftettotal-T]])*100/O$439</f>
        <v>25.062283312637703</v>
      </c>
      <c r="Z94" s="7">
        <f>100-(P$436-Tabell2[[#This Row],[Befvekst10-T]])*100/P$439</f>
        <v>92.962765734472342</v>
      </c>
      <c r="AA94" s="7">
        <f>100-(Q$436-Tabell2[[#This Row],[Kvinneandel-T]])*100/Q$439</f>
        <v>86.237436321873759</v>
      </c>
      <c r="AB94" s="7">
        <f>(R$436-Tabell2[[#This Row],[Eldreandel-T]])*100/R$439</f>
        <v>73.783355221458834</v>
      </c>
      <c r="AC94" s="7">
        <f>100-(S$436-Tabell2[[#This Row],[Sysselsettingsvekst10-T]])*100/S$439</f>
        <v>94.906456935293818</v>
      </c>
      <c r="AD94" s="7">
        <f>100-(T$436-Tabell2[[#This Row],[Yrkesaktivandel-T]])*100/T$439</f>
        <v>32.082887585043594</v>
      </c>
      <c r="AE94" s="7">
        <f>100-(U$436-Tabell2[[#This Row],[Inntekt-T]])*100/U$439</f>
        <v>100</v>
      </c>
      <c r="AF94" s="7">
        <v>12</v>
      </c>
      <c r="AG94" s="7">
        <v>9.7129067641696807</v>
      </c>
      <c r="AH94" s="7">
        <v>2.5062283312637703</v>
      </c>
      <c r="AI94" s="7">
        <v>18.59255314689447</v>
      </c>
      <c r="AJ94" s="7">
        <v>4.3118718160936877</v>
      </c>
      <c r="AK94" s="7">
        <v>3.6891677610729419</v>
      </c>
      <c r="AL94" s="7">
        <v>9.4906456935293821</v>
      </c>
      <c r="AM94" s="7">
        <v>3.2082887585043594</v>
      </c>
      <c r="AN94" s="7">
        <v>10</v>
      </c>
      <c r="AO9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73.51166227152828</v>
      </c>
    </row>
    <row r="95" spans="1:41" x14ac:dyDescent="0.3">
      <c r="A95" s="2" t="s">
        <v>92</v>
      </c>
      <c r="B95">
        <f>'Rådata-K'!N94</f>
        <v>5</v>
      </c>
      <c r="C95" s="7">
        <f>'Rådata-K'!M94</f>
        <v>47.05</v>
      </c>
      <c r="D95" s="24">
        <f>'Rådata-K'!O94</f>
        <v>20.959755805938869</v>
      </c>
      <c r="E95" s="24">
        <f>'Rådata-K'!P94</f>
        <v>19.163644314118887</v>
      </c>
      <c r="F95" s="24">
        <f>'Rådata-K'!Q94</f>
        <v>5.6885484271376408E-2</v>
      </c>
      <c r="G95" s="24">
        <f>'Rådata-K'!R94</f>
        <v>0.11828462132143217</v>
      </c>
      <c r="H95" s="24">
        <f>'Rådata-K'!S94</f>
        <v>0.16734337773900204</v>
      </c>
      <c r="I95" s="24">
        <f>'Rådata-K'!T94</f>
        <v>3.6684884330313583E-3</v>
      </c>
      <c r="J95" s="24">
        <f>'Rådata-K'!U94</f>
        <v>0.817134097876689</v>
      </c>
      <c r="K95" s="24">
        <f>'Rådata-K'!L94</f>
        <v>382000</v>
      </c>
      <c r="L95" s="24">
        <f>Tabell2[[#This Row],[NIBR11]]</f>
        <v>5</v>
      </c>
      <c r="M95" s="24">
        <f>IF(Tabell2[[#This Row],[ReisetidOslo]]&lt;=C$434,C$434,IF(Tabell2[[#This Row],[ReisetidOslo]]&gt;=C$435,C$435,Tabell2[[#This Row],[ReisetidOslo]]))</f>
        <v>52.54</v>
      </c>
      <c r="N95" s="24">
        <f>IF(Tabell2[[#This Row],[Beftettland]]&lt;=D$434,D$434,IF(Tabell2[[#This Row],[Beftettland]]&gt;=D$435,D$435,Tabell2[[#This Row],[Beftettland]]))</f>
        <v>20.959755805938869</v>
      </c>
      <c r="O95" s="24">
        <f>IF(Tabell2[[#This Row],[Beftettotal]]&lt;=E$434,E$434,IF(Tabell2[[#This Row],[Beftettotal]]&gt;=E$435,E$435,Tabell2[[#This Row],[Beftettotal]]))</f>
        <v>19.163644314118887</v>
      </c>
      <c r="P95" s="24">
        <f>IF(Tabell2[[#This Row],[Befvekst10]]&lt;=F$434,F$434,IF(Tabell2[[#This Row],[Befvekst10]]&gt;=F$435,F$435,Tabell2[[#This Row],[Befvekst10]]))</f>
        <v>5.6885484271376408E-2</v>
      </c>
      <c r="Q95" s="24">
        <f>IF(Tabell2[[#This Row],[Kvinneandel]]&lt;=G$434,G$434,IF(Tabell2[[#This Row],[Kvinneandel]]&gt;=G$435,G$435,Tabell2[[#This Row],[Kvinneandel]]))</f>
        <v>0.11828462132143217</v>
      </c>
      <c r="R95" s="24">
        <f>IF(Tabell2[[#This Row],[Eldreandel]]&lt;=H$434,H$434,IF(Tabell2[[#This Row],[Eldreandel]]&gt;=H$435,H$435,Tabell2[[#This Row],[Eldreandel]]))</f>
        <v>0.16734337773900204</v>
      </c>
      <c r="S95" s="24">
        <f>IF(Tabell2[[#This Row],[Sysselsettingsvekst10]]&lt;=I$434,I$434,IF(Tabell2[[#This Row],[Sysselsettingsvekst10]]&gt;=I$435,I$435,Tabell2[[#This Row],[Sysselsettingsvekst10]]))</f>
        <v>3.6684884330313583E-3</v>
      </c>
      <c r="T95" s="24">
        <f>IF(Tabell2[[#This Row],[Yrkesaktivandel]]&lt;=J$434,J$434,IF(Tabell2[[#This Row],[Yrkesaktivandel]]&gt;=J$435,J$435,Tabell2[[#This Row],[Yrkesaktivandel]]))</f>
        <v>0.817134097876689</v>
      </c>
      <c r="U95" s="24">
        <f>IF(Tabell2[[#This Row],[Inntekt]]&lt;=K$434,K$434,IF(Tabell2[[#This Row],[Inntekt]]&gt;=K$435,K$435,Tabell2[[#This Row],[Inntekt]]))</f>
        <v>382000</v>
      </c>
      <c r="V95" s="7">
        <f>IF(Tabell2[[#This Row],[NIBR11-T]]&lt;=L$437,100,IF(Tabell2[[#This Row],[NIBR11-T]]&gt;=L$436,0,100*(L$436-Tabell2[[#This Row],[NIBR11-T]])/L$439))</f>
        <v>60</v>
      </c>
      <c r="W95" s="7">
        <f>(M$436-Tabell2[[#This Row],[ReisetidOslo-T]])*100/M$439</f>
        <v>100</v>
      </c>
      <c r="X95" s="7">
        <f>100-(N$436-Tabell2[[#This Row],[Beftettland-T]])*100/N$439</f>
        <v>14.466543994961938</v>
      </c>
      <c r="Y95" s="7">
        <f>100-(O$436-Tabell2[[#This Row],[Beftettotal-T]])*100/O$439</f>
        <v>13.659695949090846</v>
      </c>
      <c r="Z95" s="7">
        <f>100-(P$436-Tabell2[[#This Row],[Befvekst10-T]])*100/P$439</f>
        <v>51.788507481199311</v>
      </c>
      <c r="AA95" s="7">
        <f>100-(Q$436-Tabell2[[#This Row],[Kvinneandel-T]])*100/Q$439</f>
        <v>75.561413511851001</v>
      </c>
      <c r="AB95" s="7">
        <f>(R$436-Tabell2[[#This Row],[Eldreandel-T]])*100/R$439</f>
        <v>57.184946340461394</v>
      </c>
      <c r="AC95" s="7">
        <f>100-(S$436-Tabell2[[#This Row],[Sysselsettingsvekst10-T]])*100/S$439</f>
        <v>31.407623631846164</v>
      </c>
      <c r="AD95" s="7">
        <f>100-(T$436-Tabell2[[#This Row],[Yrkesaktivandel-T]])*100/T$439</f>
        <v>12.87149360356959</v>
      </c>
      <c r="AE95" s="7">
        <f>100-(U$436-Tabell2[[#This Row],[Inntekt-T]])*100/U$439</f>
        <v>42.421848549825079</v>
      </c>
      <c r="AF95" s="7">
        <v>12</v>
      </c>
      <c r="AG95" s="7">
        <v>10</v>
      </c>
      <c r="AH95" s="7">
        <v>1.3659695949090847</v>
      </c>
      <c r="AI95" s="7">
        <v>10.357701496239862</v>
      </c>
      <c r="AJ95" s="7">
        <v>3.7780706755925504</v>
      </c>
      <c r="AK95" s="7">
        <v>2.8592473170230699</v>
      </c>
      <c r="AL95" s="7">
        <v>3.1407623631846167</v>
      </c>
      <c r="AM95" s="7">
        <v>1.287149360356959</v>
      </c>
      <c r="AN95" s="7">
        <v>4.2421848549825079</v>
      </c>
      <c r="AO9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49.031085662288646</v>
      </c>
    </row>
    <row r="96" spans="1:41" x14ac:dyDescent="0.3">
      <c r="A96" s="2" t="s">
        <v>93</v>
      </c>
      <c r="B96">
        <f>'Rådata-K'!N95</f>
        <v>5</v>
      </c>
      <c r="C96" s="7">
        <f>'Rådata-K'!M95</f>
        <v>37.049999999999997</v>
      </c>
      <c r="D96" s="24">
        <f>'Rådata-K'!O95</f>
        <v>50.267419402763331</v>
      </c>
      <c r="E96" s="24">
        <f>'Rådata-K'!P95</f>
        <v>35.118584254502053</v>
      </c>
      <c r="F96" s="24">
        <f>'Rådata-K'!Q95</f>
        <v>0.27510834746561152</v>
      </c>
      <c r="G96" s="24">
        <f>'Rådata-K'!R95</f>
        <v>0.11556080981232451</v>
      </c>
      <c r="H96" s="24">
        <f>'Rådata-K'!S95</f>
        <v>0.13846608541451161</v>
      </c>
      <c r="I96" s="24">
        <f>'Rådata-K'!T95</f>
        <v>0.24675324675324672</v>
      </c>
      <c r="J96" s="24">
        <f>'Rådata-K'!U95</f>
        <v>0.8577521324636227</v>
      </c>
      <c r="K96" s="24">
        <f>'Rådata-K'!L95</f>
        <v>462600</v>
      </c>
      <c r="L96" s="24">
        <f>Tabell2[[#This Row],[NIBR11]]</f>
        <v>5</v>
      </c>
      <c r="M96" s="24">
        <f>IF(Tabell2[[#This Row],[ReisetidOslo]]&lt;=C$434,C$434,IF(Tabell2[[#This Row],[ReisetidOslo]]&gt;=C$435,C$435,Tabell2[[#This Row],[ReisetidOslo]]))</f>
        <v>52.54</v>
      </c>
      <c r="N96" s="24">
        <f>IF(Tabell2[[#This Row],[Beftettland]]&lt;=D$434,D$434,IF(Tabell2[[#This Row],[Beftettland]]&gt;=D$435,D$435,Tabell2[[#This Row],[Beftettland]]))</f>
        <v>50.267419402763331</v>
      </c>
      <c r="O96" s="24">
        <f>IF(Tabell2[[#This Row],[Beftettotal]]&lt;=E$434,E$434,IF(Tabell2[[#This Row],[Beftettotal]]&gt;=E$435,E$435,Tabell2[[#This Row],[Beftettotal]]))</f>
        <v>35.118584254502053</v>
      </c>
      <c r="P96" s="24">
        <f>IF(Tabell2[[#This Row],[Befvekst10]]&lt;=F$434,F$434,IF(Tabell2[[#This Row],[Befvekst10]]&gt;=F$435,F$435,Tabell2[[#This Row],[Befvekst10]]))</f>
        <v>0.17599648151968622</v>
      </c>
      <c r="Q96" s="24">
        <f>IF(Tabell2[[#This Row],[Kvinneandel]]&lt;=G$434,G$434,IF(Tabell2[[#This Row],[Kvinneandel]]&gt;=G$435,G$435,Tabell2[[#This Row],[Kvinneandel]]))</f>
        <v>0.11556080981232451</v>
      </c>
      <c r="R96" s="24">
        <f>IF(Tabell2[[#This Row],[Eldreandel]]&lt;=H$434,H$434,IF(Tabell2[[#This Row],[Eldreandel]]&gt;=H$435,H$435,Tabell2[[#This Row],[Eldreandel]]))</f>
        <v>0.13846608541451161</v>
      </c>
      <c r="S96" s="24">
        <f>IF(Tabell2[[#This Row],[Sysselsettingsvekst10]]&lt;=I$434,I$434,IF(Tabell2[[#This Row],[Sysselsettingsvekst10]]&gt;=I$435,I$435,Tabell2[[#This Row],[Sysselsettingsvekst10]]))</f>
        <v>0.21384805931725109</v>
      </c>
      <c r="T96" s="24">
        <f>IF(Tabell2[[#This Row],[Yrkesaktivandel]]&lt;=J$434,J$434,IF(Tabell2[[#This Row],[Yrkesaktivandel]]&gt;=J$435,J$435,Tabell2[[#This Row],[Yrkesaktivandel]]))</f>
        <v>0.8577521324636227</v>
      </c>
      <c r="U96" s="24">
        <f>IF(Tabell2[[#This Row],[Inntekt]]&lt;=K$434,K$434,IF(Tabell2[[#This Row],[Inntekt]]&gt;=K$435,K$435,Tabell2[[#This Row],[Inntekt]]))</f>
        <v>433020</v>
      </c>
      <c r="V96" s="7">
        <f>IF(Tabell2[[#This Row],[NIBR11-T]]&lt;=L$437,100,IF(Tabell2[[#This Row],[NIBR11-T]]&gt;=L$436,0,100*(L$436-Tabell2[[#This Row],[NIBR11-T]])/L$439))</f>
        <v>60</v>
      </c>
      <c r="W96" s="7">
        <f>(M$436-Tabell2[[#This Row],[ReisetidOslo-T]])*100/M$439</f>
        <v>100</v>
      </c>
      <c r="X96" s="7">
        <f>100-(N$436-Tabell2[[#This Row],[Beftettland-T]])*100/N$439</f>
        <v>36.145532482958899</v>
      </c>
      <c r="Y96" s="7">
        <f>100-(O$436-Tabell2[[#This Row],[Beftettotal-T]])*100/O$439</f>
        <v>25.872222289112131</v>
      </c>
      <c r="Z96" s="7">
        <f>100-(P$436-Tabell2[[#This Row],[Befvekst10-T]])*100/P$439</f>
        <v>100</v>
      </c>
      <c r="AA96" s="7">
        <f>100-(Q$436-Tabell2[[#This Row],[Kvinneandel-T]])*100/Q$439</f>
        <v>68.405815576784391</v>
      </c>
      <c r="AB96" s="7">
        <f>(R$436-Tabell2[[#This Row],[Eldreandel-T]])*100/R$439</f>
        <v>88.350903670162012</v>
      </c>
      <c r="AC96" s="7">
        <f>100-(S$436-Tabell2[[#This Row],[Sysselsettingsvekst10-T]])*100/S$439</f>
        <v>100</v>
      </c>
      <c r="AD96" s="7">
        <f>100-(T$436-Tabell2[[#This Row],[Yrkesaktivandel-T]])*100/T$439</f>
        <v>41.519142477120234</v>
      </c>
      <c r="AE96" s="7">
        <f>100-(U$436-Tabell2[[#This Row],[Inntekt-T]])*100/U$439</f>
        <v>100</v>
      </c>
      <c r="AF96" s="7">
        <v>12</v>
      </c>
      <c r="AG96" s="7">
        <v>10</v>
      </c>
      <c r="AH96" s="7">
        <v>2.5872222289112132</v>
      </c>
      <c r="AI96" s="7">
        <v>20</v>
      </c>
      <c r="AJ96" s="7">
        <v>3.4202907788392198</v>
      </c>
      <c r="AK96" s="7">
        <v>4.4175451835081008</v>
      </c>
      <c r="AL96" s="7">
        <v>10</v>
      </c>
      <c r="AM96" s="7">
        <v>4.1519142477120239</v>
      </c>
      <c r="AN96" s="7">
        <v>10</v>
      </c>
      <c r="AO9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76.576972438970557</v>
      </c>
    </row>
    <row r="97" spans="1:41" x14ac:dyDescent="0.3">
      <c r="A97" s="2" t="s">
        <v>94</v>
      </c>
      <c r="B97">
        <f>'Rådata-K'!N96</f>
        <v>8</v>
      </c>
      <c r="C97" s="7">
        <f>'Rådata-K'!M96</f>
        <v>92.333333333300004</v>
      </c>
      <c r="D97" s="24">
        <f>'Rådata-K'!O96</f>
        <v>1.6012881871449658</v>
      </c>
      <c r="E97" s="24">
        <f>'Rådata-K'!P96</f>
        <v>1.5246802288439969</v>
      </c>
      <c r="F97" s="24">
        <f>'Rådata-K'!Q96</f>
        <v>7.6152304609218513E-2</v>
      </c>
      <c r="G97" s="24">
        <f>'Rådata-K'!R96</f>
        <v>0.10335195530726257</v>
      </c>
      <c r="H97" s="24">
        <f>'Rådata-K'!S96</f>
        <v>0.20949720670391062</v>
      </c>
      <c r="I97" s="24">
        <f>'Rådata-K'!T96</f>
        <v>0.27478753541076495</v>
      </c>
      <c r="J97" s="24">
        <f>'Rådata-K'!U96</f>
        <v>0.88225538971807627</v>
      </c>
      <c r="K97" s="24">
        <f>'Rådata-K'!L96</f>
        <v>390100</v>
      </c>
      <c r="L97" s="24">
        <f>Tabell2[[#This Row],[NIBR11]]</f>
        <v>8</v>
      </c>
      <c r="M97" s="24">
        <f>IF(Tabell2[[#This Row],[ReisetidOslo]]&lt;=C$434,C$434,IF(Tabell2[[#This Row],[ReisetidOslo]]&gt;=C$435,C$435,Tabell2[[#This Row],[ReisetidOslo]]))</f>
        <v>92.333333333300004</v>
      </c>
      <c r="N97" s="24">
        <f>IF(Tabell2[[#This Row],[Beftettland]]&lt;=D$434,D$434,IF(Tabell2[[#This Row],[Beftettland]]&gt;=D$435,D$435,Tabell2[[#This Row],[Beftettland]]))</f>
        <v>1.6012881871449658</v>
      </c>
      <c r="O97" s="24">
        <f>IF(Tabell2[[#This Row],[Beftettotal]]&lt;=E$434,E$434,IF(Tabell2[[#This Row],[Beftettotal]]&gt;=E$435,E$435,Tabell2[[#This Row],[Beftettotal]]))</f>
        <v>1.5246802288439969</v>
      </c>
      <c r="P97" s="24">
        <f>IF(Tabell2[[#This Row],[Befvekst10]]&lt;=F$434,F$434,IF(Tabell2[[#This Row],[Befvekst10]]&gt;=F$435,F$435,Tabell2[[#This Row],[Befvekst10]]))</f>
        <v>7.6152304609218513E-2</v>
      </c>
      <c r="Q97" s="24">
        <f>IF(Tabell2[[#This Row],[Kvinneandel]]&lt;=G$434,G$434,IF(Tabell2[[#This Row],[Kvinneandel]]&gt;=G$435,G$435,Tabell2[[#This Row],[Kvinneandel]]))</f>
        <v>0.10335195530726257</v>
      </c>
      <c r="R97" s="24">
        <f>IF(Tabell2[[#This Row],[Eldreandel]]&lt;=H$434,H$434,IF(Tabell2[[#This Row],[Eldreandel]]&gt;=H$435,H$435,Tabell2[[#This Row],[Eldreandel]]))</f>
        <v>0.20949720670391062</v>
      </c>
      <c r="S97" s="24">
        <f>IF(Tabell2[[#This Row],[Sysselsettingsvekst10]]&lt;=I$434,I$434,IF(Tabell2[[#This Row],[Sysselsettingsvekst10]]&gt;=I$435,I$435,Tabell2[[#This Row],[Sysselsettingsvekst10]]))</f>
        <v>0.21384805931725109</v>
      </c>
      <c r="T97" s="24">
        <f>IF(Tabell2[[#This Row],[Yrkesaktivandel]]&lt;=J$434,J$434,IF(Tabell2[[#This Row],[Yrkesaktivandel]]&gt;=J$435,J$435,Tabell2[[#This Row],[Yrkesaktivandel]]))</f>
        <v>0.88225538971807627</v>
      </c>
      <c r="U97" s="24">
        <f>IF(Tabell2[[#This Row],[Inntekt]]&lt;=K$434,K$434,IF(Tabell2[[#This Row],[Inntekt]]&gt;=K$435,K$435,Tabell2[[#This Row],[Inntekt]]))</f>
        <v>390100</v>
      </c>
      <c r="V97" s="7">
        <f>IF(Tabell2[[#This Row],[NIBR11-T]]&lt;=L$437,100,IF(Tabell2[[#This Row],[NIBR11-T]]&gt;=L$436,0,100*(L$436-Tabell2[[#This Row],[NIBR11-T]])/L$439))</f>
        <v>30</v>
      </c>
      <c r="W97" s="7">
        <f>(M$436-Tabell2[[#This Row],[ReisetidOslo-T]])*100/M$439</f>
        <v>82.540402193800688</v>
      </c>
      <c r="X97" s="7">
        <f>100-(N$436-Tabell2[[#This Row],[Beftettland-T]])*100/N$439</f>
        <v>0.14701302086659496</v>
      </c>
      <c r="Y97" s="7">
        <f>100-(O$436-Tabell2[[#This Row],[Beftettotal-T]])*100/O$439</f>
        <v>0.1581525833979498</v>
      </c>
      <c r="Z97" s="7">
        <f>100-(P$436-Tabell2[[#This Row],[Befvekst10-T]])*100/P$439</f>
        <v>59.586965944631679</v>
      </c>
      <c r="AA97" s="7">
        <f>100-(Q$436-Tabell2[[#This Row],[Kvinneandel-T]])*100/Q$439</f>
        <v>36.332504411956251</v>
      </c>
      <c r="AB97" s="7">
        <f>(R$436-Tabell2[[#This Row],[Eldreandel-T]])*100/R$439</f>
        <v>11.690222664805242</v>
      </c>
      <c r="AC97" s="7">
        <f>100-(S$436-Tabell2[[#This Row],[Sysselsettingsvekst10-T]])*100/S$439</f>
        <v>100</v>
      </c>
      <c r="AD97" s="7">
        <f>100-(T$436-Tabell2[[#This Row],[Yrkesaktivandel-T]])*100/T$439</f>
        <v>58.801138448182805</v>
      </c>
      <c r="AE97" s="7">
        <f>100-(U$436-Tabell2[[#This Row],[Inntekt-T]])*100/U$439</f>
        <v>51.563029003498478</v>
      </c>
      <c r="AF97" s="7">
        <v>6</v>
      </c>
      <c r="AG97" s="7">
        <v>8.2540402193800695</v>
      </c>
      <c r="AH97" s="7">
        <v>1.5815258339794979E-2</v>
      </c>
      <c r="AI97" s="7">
        <v>11.917393188926336</v>
      </c>
      <c r="AJ97" s="7">
        <v>1.8166252205978126</v>
      </c>
      <c r="AK97" s="7">
        <v>0.58451113324026216</v>
      </c>
      <c r="AL97" s="7">
        <v>10</v>
      </c>
      <c r="AM97" s="7">
        <v>5.8801138448182808</v>
      </c>
      <c r="AN97" s="7">
        <v>5.1563029003498482</v>
      </c>
      <c r="AO9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49.624801765652414</v>
      </c>
    </row>
    <row r="98" spans="1:41" x14ac:dyDescent="0.3">
      <c r="A98" s="2" t="s">
        <v>95</v>
      </c>
      <c r="B98">
        <f>'Rådata-K'!N97</f>
        <v>8</v>
      </c>
      <c r="C98" s="7">
        <f>'Rådata-K'!M97</f>
        <v>117.633333333</v>
      </c>
      <c r="D98" s="24">
        <f>'Rådata-K'!O97</f>
        <v>4.4348254322075631</v>
      </c>
      <c r="E98" s="24">
        <f>'Rådata-K'!P97</f>
        <v>4.2264132300813912</v>
      </c>
      <c r="F98" s="24">
        <f>'Rådata-K'!Q97</f>
        <v>-2.8944381384790052E-2</v>
      </c>
      <c r="G98" s="24">
        <f>'Rådata-K'!R97</f>
        <v>9.906487434248977E-2</v>
      </c>
      <c r="H98" s="24">
        <f>'Rådata-K'!S97</f>
        <v>0.19871420222092342</v>
      </c>
      <c r="I98" s="24">
        <f>'Rådata-K'!T97</f>
        <v>-8.9356110381077491E-2</v>
      </c>
      <c r="J98" s="24">
        <f>'Rådata-K'!U97</f>
        <v>0.88684075780849969</v>
      </c>
      <c r="K98" s="24">
        <f>'Rådata-K'!L97</f>
        <v>359300</v>
      </c>
      <c r="L98" s="24">
        <f>Tabell2[[#This Row],[NIBR11]]</f>
        <v>8</v>
      </c>
      <c r="M98" s="24">
        <f>IF(Tabell2[[#This Row],[ReisetidOslo]]&lt;=C$434,C$434,IF(Tabell2[[#This Row],[ReisetidOslo]]&gt;=C$435,C$435,Tabell2[[#This Row],[ReisetidOslo]]))</f>
        <v>117.633333333</v>
      </c>
      <c r="N98" s="24">
        <f>IF(Tabell2[[#This Row],[Beftettland]]&lt;=D$434,D$434,IF(Tabell2[[#This Row],[Beftettland]]&gt;=D$435,D$435,Tabell2[[#This Row],[Beftettland]]))</f>
        <v>4.4348254322075631</v>
      </c>
      <c r="O98" s="24">
        <f>IF(Tabell2[[#This Row],[Beftettotal]]&lt;=E$434,E$434,IF(Tabell2[[#This Row],[Beftettotal]]&gt;=E$435,E$435,Tabell2[[#This Row],[Beftettotal]]))</f>
        <v>4.2264132300813912</v>
      </c>
      <c r="P98" s="24">
        <f>IF(Tabell2[[#This Row],[Befvekst10]]&lt;=F$434,F$434,IF(Tabell2[[#This Row],[Befvekst10]]&gt;=F$435,F$435,Tabell2[[#This Row],[Befvekst10]]))</f>
        <v>-2.8944381384790052E-2</v>
      </c>
      <c r="Q98" s="24">
        <f>IF(Tabell2[[#This Row],[Kvinneandel]]&lt;=G$434,G$434,IF(Tabell2[[#This Row],[Kvinneandel]]&gt;=G$435,G$435,Tabell2[[#This Row],[Kvinneandel]]))</f>
        <v>9.906487434248977E-2</v>
      </c>
      <c r="R98" s="24">
        <f>IF(Tabell2[[#This Row],[Eldreandel]]&lt;=H$434,H$434,IF(Tabell2[[#This Row],[Eldreandel]]&gt;=H$435,H$435,Tabell2[[#This Row],[Eldreandel]]))</f>
        <v>0.19871420222092342</v>
      </c>
      <c r="S98" s="24">
        <f>IF(Tabell2[[#This Row],[Sysselsettingsvekst10]]&lt;=I$434,I$434,IF(Tabell2[[#This Row],[Sysselsettingsvekst10]]&gt;=I$435,I$435,Tabell2[[#This Row],[Sysselsettingsvekst10]]))</f>
        <v>-8.9356110381077491E-2</v>
      </c>
      <c r="T98" s="24">
        <f>IF(Tabell2[[#This Row],[Yrkesaktivandel]]&lt;=J$434,J$434,IF(Tabell2[[#This Row],[Yrkesaktivandel]]&gt;=J$435,J$435,Tabell2[[#This Row],[Yrkesaktivandel]]))</f>
        <v>0.88684075780849969</v>
      </c>
      <c r="U98" s="24">
        <f>IF(Tabell2[[#This Row],[Inntekt]]&lt;=K$434,K$434,IF(Tabell2[[#This Row],[Inntekt]]&gt;=K$435,K$435,Tabell2[[#This Row],[Inntekt]]))</f>
        <v>359300</v>
      </c>
      <c r="V98" s="7">
        <f>IF(Tabell2[[#This Row],[NIBR11-T]]&lt;=L$437,100,IF(Tabell2[[#This Row],[NIBR11-T]]&gt;=L$436,0,100*(L$436-Tabell2[[#This Row],[NIBR11-T]])/L$439))</f>
        <v>30</v>
      </c>
      <c r="W98" s="7">
        <f>(M$436-Tabell2[[#This Row],[ReisetidOslo-T]])*100/M$439</f>
        <v>71.439853747863992</v>
      </c>
      <c r="X98" s="7">
        <f>100-(N$436-Tabell2[[#This Row],[Beftettland-T]])*100/N$439</f>
        <v>2.242991129564345</v>
      </c>
      <c r="Y98" s="7">
        <f>100-(O$436-Tabell2[[#This Row],[Beftettotal-T]])*100/O$439</f>
        <v>2.2261632161301605</v>
      </c>
      <c r="Z98" s="7">
        <f>100-(P$436-Tabell2[[#This Row],[Befvekst10-T]])*100/P$439</f>
        <v>17.047920788389504</v>
      </c>
      <c r="AA98" s="7">
        <f>100-(Q$436-Tabell2[[#This Row],[Kvinneandel-T]])*100/Q$439</f>
        <v>25.070114339655845</v>
      </c>
      <c r="AB98" s="7">
        <f>(R$436-Tabell2[[#This Row],[Eldreandel-T]])*100/R$439</f>
        <v>23.327832376493447</v>
      </c>
      <c r="AC98" s="7">
        <f>100-(S$436-Tabell2[[#This Row],[Sysselsettingsvekst10-T]])*100/S$439</f>
        <v>1.0489247987002415</v>
      </c>
      <c r="AD98" s="7">
        <f>100-(T$436-Tabell2[[#This Row],[Yrkesaktivandel-T]])*100/T$439</f>
        <v>62.035170235941706</v>
      </c>
      <c r="AE98" s="7">
        <f>100-(U$436-Tabell2[[#This Row],[Inntekt-T]])*100/U$439</f>
        <v>16.803972463604566</v>
      </c>
      <c r="AF98" s="7">
        <v>6</v>
      </c>
      <c r="AG98" s="7">
        <v>7.1439853747863999</v>
      </c>
      <c r="AH98" s="7">
        <v>0.22261632161301606</v>
      </c>
      <c r="AI98" s="7">
        <v>3.4095841576779011</v>
      </c>
      <c r="AJ98" s="7">
        <v>1.2535057169827923</v>
      </c>
      <c r="AK98" s="7">
        <v>1.1663916188246723</v>
      </c>
      <c r="AL98" s="7">
        <v>0.10489247987002415</v>
      </c>
      <c r="AM98" s="7">
        <v>6.2035170235941708</v>
      </c>
      <c r="AN98" s="7">
        <v>1.6803972463604566</v>
      </c>
      <c r="AO9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27.184889939709432</v>
      </c>
    </row>
    <row r="99" spans="1:41" x14ac:dyDescent="0.3">
      <c r="A99" s="2" t="s">
        <v>96</v>
      </c>
      <c r="B99">
        <f>'Rådata-K'!N98</f>
        <v>8</v>
      </c>
      <c r="C99" s="7">
        <f>'Rådata-K'!M98</f>
        <v>134.19999999999999</v>
      </c>
      <c r="D99" s="24">
        <f>'Rådata-K'!O98</f>
        <v>8.9057484680478556</v>
      </c>
      <c r="E99" s="24">
        <f>'Rådata-K'!P98</f>
        <v>8.597344551071382</v>
      </c>
      <c r="F99" s="24">
        <f>'Rådata-K'!Q98</f>
        <v>3.9509536784741117E-2</v>
      </c>
      <c r="G99" s="24">
        <f>'Rådata-K'!R98</f>
        <v>0.10834425513324596</v>
      </c>
      <c r="H99" s="24">
        <f>'Rådata-K'!S98</f>
        <v>0.18719965050240281</v>
      </c>
      <c r="I99" s="24">
        <f>'Rådata-K'!T98</f>
        <v>6.9252077562327319E-3</v>
      </c>
      <c r="J99" s="24">
        <f>'Rådata-K'!U98</f>
        <v>0.94481150408083947</v>
      </c>
      <c r="K99" s="24">
        <f>'Rådata-K'!L98</f>
        <v>383500</v>
      </c>
      <c r="L99" s="24">
        <f>Tabell2[[#This Row],[NIBR11]]</f>
        <v>8</v>
      </c>
      <c r="M99" s="24">
        <f>IF(Tabell2[[#This Row],[ReisetidOslo]]&lt;=C$434,C$434,IF(Tabell2[[#This Row],[ReisetidOslo]]&gt;=C$435,C$435,Tabell2[[#This Row],[ReisetidOslo]]))</f>
        <v>134.19999999999999</v>
      </c>
      <c r="N99" s="24">
        <f>IF(Tabell2[[#This Row],[Beftettland]]&lt;=D$434,D$434,IF(Tabell2[[#This Row],[Beftettland]]&gt;=D$435,D$435,Tabell2[[#This Row],[Beftettland]]))</f>
        <v>8.9057484680478556</v>
      </c>
      <c r="O99" s="24">
        <f>IF(Tabell2[[#This Row],[Beftettotal]]&lt;=E$434,E$434,IF(Tabell2[[#This Row],[Beftettotal]]&gt;=E$435,E$435,Tabell2[[#This Row],[Beftettotal]]))</f>
        <v>8.597344551071382</v>
      </c>
      <c r="P99" s="24">
        <f>IF(Tabell2[[#This Row],[Befvekst10]]&lt;=F$434,F$434,IF(Tabell2[[#This Row],[Befvekst10]]&gt;=F$435,F$435,Tabell2[[#This Row],[Befvekst10]]))</f>
        <v>3.9509536784741117E-2</v>
      </c>
      <c r="Q99" s="24">
        <f>IF(Tabell2[[#This Row],[Kvinneandel]]&lt;=G$434,G$434,IF(Tabell2[[#This Row],[Kvinneandel]]&gt;=G$435,G$435,Tabell2[[#This Row],[Kvinneandel]]))</f>
        <v>0.10834425513324596</v>
      </c>
      <c r="R99" s="24">
        <f>IF(Tabell2[[#This Row],[Eldreandel]]&lt;=H$434,H$434,IF(Tabell2[[#This Row],[Eldreandel]]&gt;=H$435,H$435,Tabell2[[#This Row],[Eldreandel]]))</f>
        <v>0.18719965050240281</v>
      </c>
      <c r="S99" s="24">
        <f>IF(Tabell2[[#This Row],[Sysselsettingsvekst10]]&lt;=I$434,I$434,IF(Tabell2[[#This Row],[Sysselsettingsvekst10]]&gt;=I$435,I$435,Tabell2[[#This Row],[Sysselsettingsvekst10]]))</f>
        <v>6.9252077562327319E-3</v>
      </c>
      <c r="T99" s="24">
        <f>IF(Tabell2[[#This Row],[Yrkesaktivandel]]&lt;=J$434,J$434,IF(Tabell2[[#This Row],[Yrkesaktivandel]]&gt;=J$435,J$435,Tabell2[[#This Row],[Yrkesaktivandel]]))</f>
        <v>0.94066914614326791</v>
      </c>
      <c r="U99" s="24">
        <f>IF(Tabell2[[#This Row],[Inntekt]]&lt;=K$434,K$434,IF(Tabell2[[#This Row],[Inntekt]]&gt;=K$435,K$435,Tabell2[[#This Row],[Inntekt]]))</f>
        <v>383500</v>
      </c>
      <c r="V99" s="7">
        <f>IF(Tabell2[[#This Row],[NIBR11-T]]&lt;=L$437,100,IF(Tabell2[[#This Row],[NIBR11-T]]&gt;=L$436,0,100*(L$436-Tabell2[[#This Row],[NIBR11-T]])/L$439))</f>
        <v>30</v>
      </c>
      <c r="W99" s="7">
        <f>(M$436-Tabell2[[#This Row],[ReisetidOslo-T]])*100/M$439</f>
        <v>64.17111517367826</v>
      </c>
      <c r="X99" s="7">
        <f>100-(N$436-Tabell2[[#This Row],[Beftettland-T]])*100/N$439</f>
        <v>5.5501496379349931</v>
      </c>
      <c r="Y99" s="7">
        <f>100-(O$436-Tabell2[[#This Row],[Beftettotal-T]])*100/O$439</f>
        <v>5.5718426162077037</v>
      </c>
      <c r="Z99" s="7">
        <f>100-(P$436-Tabell2[[#This Row],[Befvekst10-T]])*100/P$439</f>
        <v>44.755400701708567</v>
      </c>
      <c r="AA99" s="7">
        <f>100-(Q$436-Tabell2[[#This Row],[Kvinneandel-T]])*100/Q$439</f>
        <v>49.447542000494543</v>
      </c>
      <c r="AB99" s="7">
        <f>(R$436-Tabell2[[#This Row],[Eldreandel-T]])*100/R$439</f>
        <v>35.754967978320586</v>
      </c>
      <c r="AC99" s="7">
        <f>100-(S$436-Tabell2[[#This Row],[Sysselsettingsvekst10-T]])*100/S$439</f>
        <v>32.470458219445192</v>
      </c>
      <c r="AD99" s="7">
        <f>100-(T$436-Tabell2[[#This Row],[Yrkesaktivandel-T]])*100/T$439</f>
        <v>100</v>
      </c>
      <c r="AE99" s="7">
        <f>100-(U$436-Tabell2[[#This Row],[Inntekt-T]])*100/U$439</f>
        <v>44.114659744949783</v>
      </c>
      <c r="AF99" s="7">
        <v>6</v>
      </c>
      <c r="AG99" s="7">
        <v>6.4171115173678261</v>
      </c>
      <c r="AH99" s="7">
        <v>0.55718426162077039</v>
      </c>
      <c r="AI99" s="7">
        <v>8.9510801403417144</v>
      </c>
      <c r="AJ99" s="7">
        <v>2.4723771000247274</v>
      </c>
      <c r="AK99" s="7">
        <v>1.7877483989160294</v>
      </c>
      <c r="AL99" s="7">
        <v>3.2470458219445195</v>
      </c>
      <c r="AM99" s="7">
        <v>10</v>
      </c>
      <c r="AN99" s="7">
        <v>4.4114659744949787</v>
      </c>
      <c r="AO9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43.844013214710564</v>
      </c>
    </row>
    <row r="100" spans="1:41" x14ac:dyDescent="0.3">
      <c r="A100" s="2" t="s">
        <v>97</v>
      </c>
      <c r="B100">
        <f>'Rådata-K'!N99</f>
        <v>8</v>
      </c>
      <c r="C100" s="7">
        <f>'Rådata-K'!M99</f>
        <v>158.98333333299999</v>
      </c>
      <c r="D100" s="24">
        <f>'Rådata-K'!O99</f>
        <v>3.4027368006968448</v>
      </c>
      <c r="E100" s="24">
        <f>'Rådata-K'!P99</f>
        <v>3.2141624863975373</v>
      </c>
      <c r="F100" s="24">
        <f>'Rådata-K'!Q99</f>
        <v>0.24396507447354909</v>
      </c>
      <c r="G100" s="24">
        <f>'Rådata-K'!R99</f>
        <v>0.13170933113129646</v>
      </c>
      <c r="H100" s="24">
        <f>'Rådata-K'!S99</f>
        <v>0.12964492155243601</v>
      </c>
      <c r="I100" s="24">
        <f>'Rådata-K'!T99</f>
        <v>9.6613545816732982E-2</v>
      </c>
      <c r="J100" s="24">
        <f>'Rådata-K'!U99</f>
        <v>0.88239292997960572</v>
      </c>
      <c r="K100" s="24">
        <f>'Rådata-K'!L99</f>
        <v>379300</v>
      </c>
      <c r="L100" s="24">
        <f>Tabell2[[#This Row],[NIBR11]]</f>
        <v>8</v>
      </c>
      <c r="M100" s="24">
        <f>IF(Tabell2[[#This Row],[ReisetidOslo]]&lt;=C$434,C$434,IF(Tabell2[[#This Row],[ReisetidOslo]]&gt;=C$435,C$435,Tabell2[[#This Row],[ReisetidOslo]]))</f>
        <v>158.98333333299999</v>
      </c>
      <c r="N100" s="24">
        <f>IF(Tabell2[[#This Row],[Beftettland]]&lt;=D$434,D$434,IF(Tabell2[[#This Row],[Beftettland]]&gt;=D$435,D$435,Tabell2[[#This Row],[Beftettland]]))</f>
        <v>3.4027368006968448</v>
      </c>
      <c r="O100" s="24">
        <f>IF(Tabell2[[#This Row],[Beftettotal]]&lt;=E$434,E$434,IF(Tabell2[[#This Row],[Beftettotal]]&gt;=E$435,E$435,Tabell2[[#This Row],[Beftettotal]]))</f>
        <v>3.2141624863975373</v>
      </c>
      <c r="P100" s="24">
        <f>IF(Tabell2[[#This Row],[Befvekst10]]&lt;=F$434,F$434,IF(Tabell2[[#This Row],[Befvekst10]]&gt;=F$435,F$435,Tabell2[[#This Row],[Befvekst10]]))</f>
        <v>0.17599648151968622</v>
      </c>
      <c r="Q100" s="24">
        <f>IF(Tabell2[[#This Row],[Kvinneandel]]&lt;=G$434,G$434,IF(Tabell2[[#This Row],[Kvinneandel]]&gt;=G$435,G$435,Tabell2[[#This Row],[Kvinneandel]]))</f>
        <v>0.12758728250318055</v>
      </c>
      <c r="R100" s="24">
        <f>IF(Tabell2[[#This Row],[Eldreandel]]&lt;=H$434,H$434,IF(Tabell2[[#This Row],[Eldreandel]]&gt;=H$435,H$435,Tabell2[[#This Row],[Eldreandel]]))</f>
        <v>0.12964492155243601</v>
      </c>
      <c r="S100" s="24">
        <f>IF(Tabell2[[#This Row],[Sysselsettingsvekst10]]&lt;=I$434,I$434,IF(Tabell2[[#This Row],[Sysselsettingsvekst10]]&gt;=I$435,I$435,Tabell2[[#This Row],[Sysselsettingsvekst10]]))</f>
        <v>9.6613545816732982E-2</v>
      </c>
      <c r="T100" s="24">
        <f>IF(Tabell2[[#This Row],[Yrkesaktivandel]]&lt;=J$434,J$434,IF(Tabell2[[#This Row],[Yrkesaktivandel]]&gt;=J$435,J$435,Tabell2[[#This Row],[Yrkesaktivandel]]))</f>
        <v>0.88239292997960572</v>
      </c>
      <c r="U100" s="24">
        <f>IF(Tabell2[[#This Row],[Inntekt]]&lt;=K$434,K$434,IF(Tabell2[[#This Row],[Inntekt]]&gt;=K$435,K$435,Tabell2[[#This Row],[Inntekt]]))</f>
        <v>379300</v>
      </c>
      <c r="V100" s="7">
        <f>IF(Tabell2[[#This Row],[NIBR11-T]]&lt;=L$437,100,IF(Tabell2[[#This Row],[NIBR11-T]]&gt;=L$436,0,100*(L$436-Tabell2[[#This Row],[NIBR11-T]])/L$439))</f>
        <v>30</v>
      </c>
      <c r="W100" s="7">
        <f>(M$436-Tabell2[[#This Row],[ReisetidOslo-T]])*100/M$439</f>
        <v>53.297257769803693</v>
      </c>
      <c r="X100" s="7">
        <f>100-(N$436-Tabell2[[#This Row],[Beftettland-T]])*100/N$439</f>
        <v>1.4795513047829161</v>
      </c>
      <c r="Y100" s="7">
        <f>100-(O$436-Tabell2[[#This Row],[Beftettotal-T]])*100/O$439</f>
        <v>1.4513474589955422</v>
      </c>
      <c r="Z100" s="7">
        <f>100-(P$436-Tabell2[[#This Row],[Befvekst10-T]])*100/P$439</f>
        <v>100</v>
      </c>
      <c r="AA100" s="7">
        <f>100-(Q$436-Tabell2[[#This Row],[Kvinneandel-T]])*100/Q$439</f>
        <v>100</v>
      </c>
      <c r="AB100" s="7">
        <f>(R$436-Tabell2[[#This Row],[Eldreandel-T]])*100/R$439</f>
        <v>97.871187408488453</v>
      </c>
      <c r="AC100" s="7">
        <f>100-(S$436-Tabell2[[#This Row],[Sysselsettingsvekst10-T]])*100/S$439</f>
        <v>61.740364015707975</v>
      </c>
      <c r="AD100" s="7">
        <f>100-(T$436-Tabell2[[#This Row],[Yrkesaktivandel-T]])*100/T$439</f>
        <v>58.898144744975404</v>
      </c>
      <c r="AE100" s="7">
        <f>100-(U$436-Tabell2[[#This Row],[Inntekt-T]])*100/U$439</f>
        <v>39.374788398600607</v>
      </c>
      <c r="AF100" s="7">
        <v>6</v>
      </c>
      <c r="AG100" s="7">
        <v>5.3297257769803696</v>
      </c>
      <c r="AH100" s="7">
        <v>0.14513474589955422</v>
      </c>
      <c r="AI100" s="7">
        <v>20</v>
      </c>
      <c r="AJ100" s="7">
        <v>5</v>
      </c>
      <c r="AK100" s="7">
        <v>4.8935593704244233</v>
      </c>
      <c r="AL100" s="7">
        <v>6.174036401570798</v>
      </c>
      <c r="AM100" s="7">
        <v>5.8898144744975411</v>
      </c>
      <c r="AN100" s="7">
        <v>3.9374788398600611</v>
      </c>
      <c r="AO10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57.369749609232748</v>
      </c>
    </row>
    <row r="101" spans="1:41" x14ac:dyDescent="0.3">
      <c r="A101" s="2" t="s">
        <v>98</v>
      </c>
      <c r="B101">
        <f>'Rådata-K'!N100</f>
        <v>8</v>
      </c>
      <c r="C101" s="7">
        <f>'Rådata-K'!M100</f>
        <v>152.15</v>
      </c>
      <c r="D101" s="24">
        <f>'Rådata-K'!O100</f>
        <v>4.3562690141756741</v>
      </c>
      <c r="E101" s="24">
        <f>'Rådata-K'!P100</f>
        <v>4.0096346985326656</v>
      </c>
      <c r="F101" s="24">
        <f>'Rådata-K'!Q100</f>
        <v>1.0510510510510551E-2</v>
      </c>
      <c r="G101" s="24">
        <f>'Rådata-K'!R100</f>
        <v>9.2337083421778821E-2</v>
      </c>
      <c r="H101" s="24">
        <f>'Rådata-K'!S100</f>
        <v>0.18658458925918064</v>
      </c>
      <c r="I101" s="24">
        <f>'Rådata-K'!T100</f>
        <v>4.185851820845965E-4</v>
      </c>
      <c r="J101" s="24">
        <f>'Rådata-K'!U100</f>
        <v>0.94188299108872531</v>
      </c>
      <c r="K101" s="24">
        <f>'Rådata-K'!L100</f>
        <v>377000</v>
      </c>
      <c r="L101" s="24">
        <f>Tabell2[[#This Row],[NIBR11]]</f>
        <v>8</v>
      </c>
      <c r="M101" s="24">
        <f>IF(Tabell2[[#This Row],[ReisetidOslo]]&lt;=C$434,C$434,IF(Tabell2[[#This Row],[ReisetidOslo]]&gt;=C$435,C$435,Tabell2[[#This Row],[ReisetidOslo]]))</f>
        <v>152.15</v>
      </c>
      <c r="N101" s="24">
        <f>IF(Tabell2[[#This Row],[Beftettland]]&lt;=D$434,D$434,IF(Tabell2[[#This Row],[Beftettland]]&gt;=D$435,D$435,Tabell2[[#This Row],[Beftettland]]))</f>
        <v>4.3562690141756741</v>
      </c>
      <c r="O101" s="24">
        <f>IF(Tabell2[[#This Row],[Beftettotal]]&lt;=E$434,E$434,IF(Tabell2[[#This Row],[Beftettotal]]&gt;=E$435,E$435,Tabell2[[#This Row],[Beftettotal]]))</f>
        <v>4.0096346985326656</v>
      </c>
      <c r="P101" s="24">
        <f>IF(Tabell2[[#This Row],[Befvekst10]]&lt;=F$434,F$434,IF(Tabell2[[#This Row],[Befvekst10]]&gt;=F$435,F$435,Tabell2[[#This Row],[Befvekst10]]))</f>
        <v>1.0510510510510551E-2</v>
      </c>
      <c r="Q101" s="24">
        <f>IF(Tabell2[[#This Row],[Kvinneandel]]&lt;=G$434,G$434,IF(Tabell2[[#This Row],[Kvinneandel]]&gt;=G$435,G$435,Tabell2[[#This Row],[Kvinneandel]]))</f>
        <v>9.2337083421778821E-2</v>
      </c>
      <c r="R101" s="24">
        <f>IF(Tabell2[[#This Row],[Eldreandel]]&lt;=H$434,H$434,IF(Tabell2[[#This Row],[Eldreandel]]&gt;=H$435,H$435,Tabell2[[#This Row],[Eldreandel]]))</f>
        <v>0.18658458925918064</v>
      </c>
      <c r="S101" s="24">
        <f>IF(Tabell2[[#This Row],[Sysselsettingsvekst10]]&lt;=I$434,I$434,IF(Tabell2[[#This Row],[Sysselsettingsvekst10]]&gt;=I$435,I$435,Tabell2[[#This Row],[Sysselsettingsvekst10]]))</f>
        <v>4.185851820845965E-4</v>
      </c>
      <c r="T101" s="24">
        <f>IF(Tabell2[[#This Row],[Yrkesaktivandel]]&lt;=J$434,J$434,IF(Tabell2[[#This Row],[Yrkesaktivandel]]&gt;=J$435,J$435,Tabell2[[#This Row],[Yrkesaktivandel]]))</f>
        <v>0.94066914614326791</v>
      </c>
      <c r="U101" s="24">
        <f>IF(Tabell2[[#This Row],[Inntekt]]&lt;=K$434,K$434,IF(Tabell2[[#This Row],[Inntekt]]&gt;=K$435,K$435,Tabell2[[#This Row],[Inntekt]]))</f>
        <v>377000</v>
      </c>
      <c r="V101" s="7">
        <f>IF(Tabell2[[#This Row],[NIBR11-T]]&lt;=L$437,100,IF(Tabell2[[#This Row],[NIBR11-T]]&gt;=L$436,0,100*(L$436-Tabell2[[#This Row],[NIBR11-T]])/L$439))</f>
        <v>30</v>
      </c>
      <c r="W101" s="7">
        <f>(M$436-Tabell2[[#This Row],[ReisetidOslo-T]])*100/M$439</f>
        <v>56.295429616092221</v>
      </c>
      <c r="X101" s="7">
        <f>100-(N$436-Tabell2[[#This Row],[Beftettland-T]])*100/N$439</f>
        <v>2.1848826530375334</v>
      </c>
      <c r="Y101" s="7">
        <f>100-(O$436-Tabell2[[#This Row],[Beftettotal-T]])*100/O$439</f>
        <v>2.0602325679182485</v>
      </c>
      <c r="Z101" s="7">
        <f>100-(P$436-Tabell2[[#This Row],[Befvekst10-T]])*100/P$439</f>
        <v>33.017724327813454</v>
      </c>
      <c r="AA101" s="7">
        <f>100-(Q$436-Tabell2[[#This Row],[Kvinneandel-T]])*100/Q$439</f>
        <v>7.3958491936176216</v>
      </c>
      <c r="AB101" s="7">
        <f>(R$436-Tabell2[[#This Row],[Eldreandel-T]])*100/R$439</f>
        <v>36.418775798181784</v>
      </c>
      <c r="AC101" s="7">
        <f>100-(S$436-Tabell2[[#This Row],[Sysselsettingsvekst10-T]])*100/S$439</f>
        <v>30.347013478294059</v>
      </c>
      <c r="AD101" s="7">
        <f>100-(T$436-Tabell2[[#This Row],[Yrkesaktivandel-T]])*100/T$439</f>
        <v>100</v>
      </c>
      <c r="AE101" s="7">
        <f>100-(U$436-Tabell2[[#This Row],[Inntekt-T]])*100/U$439</f>
        <v>36.779144566076063</v>
      </c>
      <c r="AF101" s="7">
        <v>6</v>
      </c>
      <c r="AG101" s="7">
        <v>5.6295429616092223</v>
      </c>
      <c r="AH101" s="7">
        <v>0.20602325679182487</v>
      </c>
      <c r="AI101" s="7">
        <v>6.6035448655626912</v>
      </c>
      <c r="AJ101" s="7">
        <v>0.36979245968088109</v>
      </c>
      <c r="AK101" s="7">
        <v>1.8209387899090892</v>
      </c>
      <c r="AL101" s="7">
        <v>3.0347013478294063</v>
      </c>
      <c r="AM101" s="7">
        <v>10</v>
      </c>
      <c r="AN101" s="7">
        <v>3.6779144566076063</v>
      </c>
      <c r="AO10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37.342458137990718</v>
      </c>
    </row>
    <row r="102" spans="1:41" x14ac:dyDescent="0.3">
      <c r="A102" s="2" t="s">
        <v>99</v>
      </c>
      <c r="B102">
        <f>'Rådata-K'!N101</f>
        <v>8</v>
      </c>
      <c r="C102" s="7">
        <f>'Rådata-K'!M101</f>
        <v>166.68333333300001</v>
      </c>
      <c r="D102" s="24">
        <f>'Rådata-K'!O101</f>
        <v>2.7198335561052609</v>
      </c>
      <c r="E102" s="24">
        <f>'Rådata-K'!P101</f>
        <v>2.4247554755151999</v>
      </c>
      <c r="F102" s="24">
        <f>'Rådata-K'!Q101</f>
        <v>-6.6666666666670427E-4</v>
      </c>
      <c r="G102" s="24">
        <f>'Rådata-K'!R101</f>
        <v>0.11941294196130754</v>
      </c>
      <c r="H102" s="24">
        <f>'Rådata-K'!S101</f>
        <v>0.18434511896820102</v>
      </c>
      <c r="I102" s="24">
        <f>'Rådata-K'!T101</f>
        <v>-5.3811659192825045E-3</v>
      </c>
      <c r="J102" s="24">
        <f>'Rådata-K'!U101</f>
        <v>0.92473524962178522</v>
      </c>
      <c r="K102" s="24">
        <f>'Rådata-K'!L101</f>
        <v>399900</v>
      </c>
      <c r="L102" s="24">
        <f>Tabell2[[#This Row],[NIBR11]]</f>
        <v>8</v>
      </c>
      <c r="M102" s="24">
        <f>IF(Tabell2[[#This Row],[ReisetidOslo]]&lt;=C$434,C$434,IF(Tabell2[[#This Row],[ReisetidOslo]]&gt;=C$435,C$435,Tabell2[[#This Row],[ReisetidOslo]]))</f>
        <v>166.68333333300001</v>
      </c>
      <c r="N102" s="24">
        <f>IF(Tabell2[[#This Row],[Beftettland]]&lt;=D$434,D$434,IF(Tabell2[[#This Row],[Beftettland]]&gt;=D$435,D$435,Tabell2[[#This Row],[Beftettland]]))</f>
        <v>2.7198335561052609</v>
      </c>
      <c r="O102" s="24">
        <f>IF(Tabell2[[#This Row],[Beftettotal]]&lt;=E$434,E$434,IF(Tabell2[[#This Row],[Beftettotal]]&gt;=E$435,E$435,Tabell2[[#This Row],[Beftettotal]]))</f>
        <v>2.4247554755151999</v>
      </c>
      <c r="P102" s="24">
        <f>IF(Tabell2[[#This Row],[Befvekst10]]&lt;=F$434,F$434,IF(Tabell2[[#This Row],[Befvekst10]]&gt;=F$435,F$435,Tabell2[[#This Row],[Befvekst10]]))</f>
        <v>-6.6666666666670427E-4</v>
      </c>
      <c r="Q102" s="24">
        <f>IF(Tabell2[[#This Row],[Kvinneandel]]&lt;=G$434,G$434,IF(Tabell2[[#This Row],[Kvinneandel]]&gt;=G$435,G$435,Tabell2[[#This Row],[Kvinneandel]]))</f>
        <v>0.11941294196130754</v>
      </c>
      <c r="R102" s="24">
        <f>IF(Tabell2[[#This Row],[Eldreandel]]&lt;=H$434,H$434,IF(Tabell2[[#This Row],[Eldreandel]]&gt;=H$435,H$435,Tabell2[[#This Row],[Eldreandel]]))</f>
        <v>0.18434511896820102</v>
      </c>
      <c r="S102" s="24">
        <f>IF(Tabell2[[#This Row],[Sysselsettingsvekst10]]&lt;=I$434,I$434,IF(Tabell2[[#This Row],[Sysselsettingsvekst10]]&gt;=I$435,I$435,Tabell2[[#This Row],[Sysselsettingsvekst10]]))</f>
        <v>-5.3811659192825045E-3</v>
      </c>
      <c r="T102" s="24">
        <f>IF(Tabell2[[#This Row],[Yrkesaktivandel]]&lt;=J$434,J$434,IF(Tabell2[[#This Row],[Yrkesaktivandel]]&gt;=J$435,J$435,Tabell2[[#This Row],[Yrkesaktivandel]]))</f>
        <v>0.92473524962178522</v>
      </c>
      <c r="U102" s="24">
        <f>IF(Tabell2[[#This Row],[Inntekt]]&lt;=K$434,K$434,IF(Tabell2[[#This Row],[Inntekt]]&gt;=K$435,K$435,Tabell2[[#This Row],[Inntekt]]))</f>
        <v>399900</v>
      </c>
      <c r="V102" s="7">
        <f>IF(Tabell2[[#This Row],[NIBR11-T]]&lt;=L$437,100,IF(Tabell2[[#This Row],[NIBR11-T]]&gt;=L$436,0,100*(L$436-Tabell2[[#This Row],[NIBR11-T]])/L$439))</f>
        <v>30</v>
      </c>
      <c r="W102" s="7">
        <f>(M$436-Tabell2[[#This Row],[ReisetidOslo-T]])*100/M$439</f>
        <v>49.918829981869841</v>
      </c>
      <c r="X102" s="7">
        <f>100-(N$436-Tabell2[[#This Row],[Beftettland-T]])*100/N$439</f>
        <v>0.97440521802623437</v>
      </c>
      <c r="Y102" s="7">
        <f>100-(O$436-Tabell2[[#This Row],[Beftettotal-T]])*100/O$439</f>
        <v>0.84710488901905023</v>
      </c>
      <c r="Z102" s="7">
        <f>100-(P$436-Tabell2[[#This Row],[Befvekst10-T]])*100/P$439</f>
        <v>28.493638338209863</v>
      </c>
      <c r="AA102" s="7">
        <f>100-(Q$436-Tabell2[[#This Row],[Kvinneandel-T]])*100/Q$439</f>
        <v>78.525571939770387</v>
      </c>
      <c r="AB102" s="7">
        <f>(R$436-Tabell2[[#This Row],[Eldreandel-T]])*100/R$439</f>
        <v>38.835734934984607</v>
      </c>
      <c r="AC102" s="7">
        <f>100-(S$436-Tabell2[[#This Row],[Sysselsettingsvekst10-T]])*100/S$439</f>
        <v>28.454257161812052</v>
      </c>
      <c r="AD102" s="7">
        <f>100-(T$436-Tabell2[[#This Row],[Yrkesaktivandel-T]])*100/T$439</f>
        <v>88.761921216105165</v>
      </c>
      <c r="AE102" s="7">
        <f>100-(U$436-Tabell2[[#This Row],[Inntekt-T]])*100/U$439</f>
        <v>62.622728811646539</v>
      </c>
      <c r="AF102" s="7">
        <v>6</v>
      </c>
      <c r="AG102" s="7">
        <v>4.9918829981869841</v>
      </c>
      <c r="AH102" s="7">
        <v>8.4710488901905023E-2</v>
      </c>
      <c r="AI102" s="7">
        <v>5.6987276676419727</v>
      </c>
      <c r="AJ102" s="7">
        <v>3.9262785969885194</v>
      </c>
      <c r="AK102" s="7">
        <v>1.9417867467492305</v>
      </c>
      <c r="AL102" s="7">
        <v>2.8454257161812055</v>
      </c>
      <c r="AM102" s="7">
        <v>8.8761921216105168</v>
      </c>
      <c r="AN102" s="7">
        <v>6.2622728811646544</v>
      </c>
      <c r="AO10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40.627277217424989</v>
      </c>
    </row>
    <row r="103" spans="1:41" x14ac:dyDescent="0.3">
      <c r="A103" s="2" t="s">
        <v>100</v>
      </c>
      <c r="B103">
        <f>'Rådata-K'!N102</f>
        <v>2</v>
      </c>
      <c r="C103" s="7">
        <f>'Rådata-K'!M102</f>
        <v>80.266666666700004</v>
      </c>
      <c r="D103" s="24">
        <f>'Rådata-K'!O102</f>
        <v>4.3293885601577911</v>
      </c>
      <c r="E103" s="24">
        <f>'Rådata-K'!P102</f>
        <v>4.1696348007788382</v>
      </c>
      <c r="F103" s="24">
        <f>'Rådata-K'!Q102</f>
        <v>3.141959440160047E-3</v>
      </c>
      <c r="G103" s="24">
        <f>'Rådata-K'!R102</f>
        <v>9.3678815489749434E-2</v>
      </c>
      <c r="H103" s="24">
        <f>'Rådata-K'!S102</f>
        <v>0.18621867881548976</v>
      </c>
      <c r="I103" s="24">
        <f>'Rådata-K'!T102</f>
        <v>3.696098562628336E-2</v>
      </c>
      <c r="J103" s="24">
        <f>'Rådata-K'!U102</f>
        <v>0.94801223241590216</v>
      </c>
      <c r="K103" s="24">
        <f>'Rådata-K'!L102</f>
        <v>386000</v>
      </c>
      <c r="L103" s="24">
        <f>Tabell2[[#This Row],[NIBR11]]</f>
        <v>2</v>
      </c>
      <c r="M103" s="24">
        <f>IF(Tabell2[[#This Row],[ReisetidOslo]]&lt;=C$434,C$434,IF(Tabell2[[#This Row],[ReisetidOslo]]&gt;=C$435,C$435,Tabell2[[#This Row],[ReisetidOslo]]))</f>
        <v>80.266666666700004</v>
      </c>
      <c r="N103" s="24">
        <f>IF(Tabell2[[#This Row],[Beftettland]]&lt;=D$434,D$434,IF(Tabell2[[#This Row],[Beftettland]]&gt;=D$435,D$435,Tabell2[[#This Row],[Beftettland]]))</f>
        <v>4.3293885601577911</v>
      </c>
      <c r="O103" s="24">
        <f>IF(Tabell2[[#This Row],[Beftettotal]]&lt;=E$434,E$434,IF(Tabell2[[#This Row],[Beftettotal]]&gt;=E$435,E$435,Tabell2[[#This Row],[Beftettotal]]))</f>
        <v>4.1696348007788382</v>
      </c>
      <c r="P103" s="24">
        <f>IF(Tabell2[[#This Row],[Befvekst10]]&lt;=F$434,F$434,IF(Tabell2[[#This Row],[Befvekst10]]&gt;=F$435,F$435,Tabell2[[#This Row],[Befvekst10]]))</f>
        <v>3.141959440160047E-3</v>
      </c>
      <c r="Q103" s="24">
        <f>IF(Tabell2[[#This Row],[Kvinneandel]]&lt;=G$434,G$434,IF(Tabell2[[#This Row],[Kvinneandel]]&gt;=G$435,G$435,Tabell2[[#This Row],[Kvinneandel]]))</f>
        <v>9.3678815489749434E-2</v>
      </c>
      <c r="R103" s="24">
        <f>IF(Tabell2[[#This Row],[Eldreandel]]&lt;=H$434,H$434,IF(Tabell2[[#This Row],[Eldreandel]]&gt;=H$435,H$435,Tabell2[[#This Row],[Eldreandel]]))</f>
        <v>0.18621867881548976</v>
      </c>
      <c r="S103" s="24">
        <f>IF(Tabell2[[#This Row],[Sysselsettingsvekst10]]&lt;=I$434,I$434,IF(Tabell2[[#This Row],[Sysselsettingsvekst10]]&gt;=I$435,I$435,Tabell2[[#This Row],[Sysselsettingsvekst10]]))</f>
        <v>3.696098562628336E-2</v>
      </c>
      <c r="T103" s="24">
        <f>IF(Tabell2[[#This Row],[Yrkesaktivandel]]&lt;=J$434,J$434,IF(Tabell2[[#This Row],[Yrkesaktivandel]]&gt;=J$435,J$435,Tabell2[[#This Row],[Yrkesaktivandel]]))</f>
        <v>0.94066914614326791</v>
      </c>
      <c r="U103" s="24">
        <f>IF(Tabell2[[#This Row],[Inntekt]]&lt;=K$434,K$434,IF(Tabell2[[#This Row],[Inntekt]]&gt;=K$435,K$435,Tabell2[[#This Row],[Inntekt]]))</f>
        <v>386000</v>
      </c>
      <c r="V103" s="7">
        <f>IF(Tabell2[[#This Row],[NIBR11-T]]&lt;=L$437,100,IF(Tabell2[[#This Row],[NIBR11-T]]&gt;=L$436,0,100*(L$436-Tabell2[[#This Row],[NIBR11-T]])/L$439))</f>
        <v>90</v>
      </c>
      <c r="W103" s="7">
        <f>(M$436-Tabell2[[#This Row],[ReisetidOslo-T]])*100/M$439</f>
        <v>87.8347349177197</v>
      </c>
      <c r="X103" s="7">
        <f>100-(N$436-Tabell2[[#This Row],[Beftettland-T]])*100/N$439</f>
        <v>2.1649990805623531</v>
      </c>
      <c r="Y103" s="7">
        <f>100-(O$436-Tabell2[[#This Row],[Beftettotal-T]])*100/O$439</f>
        <v>2.1827028166555493</v>
      </c>
      <c r="Z103" s="7">
        <f>100-(P$436-Tabell2[[#This Row],[Befvekst10-T]])*100/P$439</f>
        <v>30.035221846854299</v>
      </c>
      <c r="AA103" s="7">
        <f>100-(Q$436-Tabell2[[#This Row],[Kvinneandel-T]])*100/Q$439</f>
        <v>10.920650811820835</v>
      </c>
      <c r="AB103" s="7">
        <f>(R$436-Tabell2[[#This Row],[Eldreandel-T]])*100/R$439</f>
        <v>36.813686413291308</v>
      </c>
      <c r="AC103" s="7">
        <f>100-(S$436-Tabell2[[#This Row],[Sysselsettingsvekst10-T]])*100/S$439</f>
        <v>42.272673399091175</v>
      </c>
      <c r="AD103" s="7">
        <f>100-(T$436-Tabell2[[#This Row],[Yrkesaktivandel-T]])*100/T$439</f>
        <v>100</v>
      </c>
      <c r="AE103" s="7">
        <f>100-(U$436-Tabell2[[#This Row],[Inntekt-T]])*100/U$439</f>
        <v>46.936011736824284</v>
      </c>
      <c r="AF103" s="7">
        <v>18</v>
      </c>
      <c r="AG103" s="7">
        <v>8.7834734917719697</v>
      </c>
      <c r="AH103" s="7">
        <v>0.21827028166555495</v>
      </c>
      <c r="AI103" s="7">
        <v>6.0070443693708597</v>
      </c>
      <c r="AJ103" s="7">
        <v>0.54603254059104178</v>
      </c>
      <c r="AK103" s="7">
        <v>1.8406843206645656</v>
      </c>
      <c r="AL103" s="7">
        <v>4.2272673399091181</v>
      </c>
      <c r="AM103" s="7">
        <v>10</v>
      </c>
      <c r="AN103" s="7">
        <v>4.6936011736824286</v>
      </c>
      <c r="AO10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54.316373517655542</v>
      </c>
    </row>
    <row r="104" spans="1:41" x14ac:dyDescent="0.3">
      <c r="A104" s="2" t="s">
        <v>101</v>
      </c>
      <c r="B104">
        <f>'Rådata-K'!N103</f>
        <v>5</v>
      </c>
      <c r="C104" s="7">
        <f>'Rådata-K'!M103</f>
        <v>79.666666666699996</v>
      </c>
      <c r="D104" s="24">
        <f>'Rådata-K'!O103</f>
        <v>6.6955088586732598</v>
      </c>
      <c r="E104" s="24">
        <f>'Rådata-K'!P103</f>
        <v>6.0746041494219112</v>
      </c>
      <c r="F104" s="24">
        <f>'Rådata-K'!Q103</f>
        <v>6.9581570286788796E-2</v>
      </c>
      <c r="G104" s="24">
        <f>'Rådata-K'!R103</f>
        <v>0.1156043956043956</v>
      </c>
      <c r="H104" s="24">
        <f>'Rådata-K'!S103</f>
        <v>0.17142857142857143</v>
      </c>
      <c r="I104" s="24">
        <f>'Rådata-K'!T103</f>
        <v>0.20465116279069773</v>
      </c>
      <c r="J104" s="24">
        <f>'Rådata-K'!U103</f>
        <v>0.86466165413533835</v>
      </c>
      <c r="K104" s="24">
        <f>'Rådata-K'!L103</f>
        <v>394000</v>
      </c>
      <c r="L104" s="24">
        <f>Tabell2[[#This Row],[NIBR11]]</f>
        <v>5</v>
      </c>
      <c r="M104" s="24">
        <f>IF(Tabell2[[#This Row],[ReisetidOslo]]&lt;=C$434,C$434,IF(Tabell2[[#This Row],[ReisetidOslo]]&gt;=C$435,C$435,Tabell2[[#This Row],[ReisetidOslo]]))</f>
        <v>79.666666666699996</v>
      </c>
      <c r="N104" s="24">
        <f>IF(Tabell2[[#This Row],[Beftettland]]&lt;=D$434,D$434,IF(Tabell2[[#This Row],[Beftettland]]&gt;=D$435,D$435,Tabell2[[#This Row],[Beftettland]]))</f>
        <v>6.6955088586732598</v>
      </c>
      <c r="O104" s="24">
        <f>IF(Tabell2[[#This Row],[Beftettotal]]&lt;=E$434,E$434,IF(Tabell2[[#This Row],[Beftettotal]]&gt;=E$435,E$435,Tabell2[[#This Row],[Beftettotal]]))</f>
        <v>6.0746041494219112</v>
      </c>
      <c r="P104" s="24">
        <f>IF(Tabell2[[#This Row],[Befvekst10]]&lt;=F$434,F$434,IF(Tabell2[[#This Row],[Befvekst10]]&gt;=F$435,F$435,Tabell2[[#This Row],[Befvekst10]]))</f>
        <v>6.9581570286788796E-2</v>
      </c>
      <c r="Q104" s="24">
        <f>IF(Tabell2[[#This Row],[Kvinneandel]]&lt;=G$434,G$434,IF(Tabell2[[#This Row],[Kvinneandel]]&gt;=G$435,G$435,Tabell2[[#This Row],[Kvinneandel]]))</f>
        <v>0.1156043956043956</v>
      </c>
      <c r="R104" s="24">
        <f>IF(Tabell2[[#This Row],[Eldreandel]]&lt;=H$434,H$434,IF(Tabell2[[#This Row],[Eldreandel]]&gt;=H$435,H$435,Tabell2[[#This Row],[Eldreandel]]))</f>
        <v>0.17142857142857143</v>
      </c>
      <c r="S104" s="24">
        <f>IF(Tabell2[[#This Row],[Sysselsettingsvekst10]]&lt;=I$434,I$434,IF(Tabell2[[#This Row],[Sysselsettingsvekst10]]&gt;=I$435,I$435,Tabell2[[#This Row],[Sysselsettingsvekst10]]))</f>
        <v>0.20465116279069773</v>
      </c>
      <c r="T104" s="24">
        <f>IF(Tabell2[[#This Row],[Yrkesaktivandel]]&lt;=J$434,J$434,IF(Tabell2[[#This Row],[Yrkesaktivandel]]&gt;=J$435,J$435,Tabell2[[#This Row],[Yrkesaktivandel]]))</f>
        <v>0.86466165413533835</v>
      </c>
      <c r="U104" s="24">
        <f>IF(Tabell2[[#This Row],[Inntekt]]&lt;=K$434,K$434,IF(Tabell2[[#This Row],[Inntekt]]&gt;=K$435,K$435,Tabell2[[#This Row],[Inntekt]]))</f>
        <v>394000</v>
      </c>
      <c r="V104" s="7">
        <f>IF(Tabell2[[#This Row],[NIBR11-T]]&lt;=L$437,100,IF(Tabell2[[#This Row],[NIBR11-T]]&gt;=L$436,0,100*(L$436-Tabell2[[#This Row],[NIBR11-T]])/L$439))</f>
        <v>60</v>
      </c>
      <c r="W104" s="7">
        <f>(M$436-Tabell2[[#This Row],[ReisetidOslo-T]])*100/M$439</f>
        <v>88.097989031065211</v>
      </c>
      <c r="X104" s="7">
        <f>100-(N$436-Tabell2[[#This Row],[Beftettland-T]])*100/N$439</f>
        <v>3.915227123929526</v>
      </c>
      <c r="Y104" s="7">
        <f>100-(O$436-Tabell2[[#This Row],[Beftettotal-T]])*100/O$439</f>
        <v>3.6408398221326053</v>
      </c>
      <c r="Z104" s="7">
        <f>100-(P$436-Tabell2[[#This Row],[Befvekst10-T]])*100/P$439</f>
        <v>56.92738860964851</v>
      </c>
      <c r="AA104" s="7">
        <f>100-(Q$436-Tabell2[[#This Row],[Kvinneandel-T]])*100/Q$439</f>
        <v>68.520317774421514</v>
      </c>
      <c r="AB104" s="7">
        <f>(R$436-Tabell2[[#This Row],[Eldreandel-T]])*100/R$439</f>
        <v>52.775981303780853</v>
      </c>
      <c r="AC104" s="7">
        <f>100-(S$436-Tabell2[[#This Row],[Sysselsettingsvekst10-T]])*100/S$439</f>
        <v>96.998580854864244</v>
      </c>
      <c r="AD104" s="7">
        <f>100-(T$436-Tabell2[[#This Row],[Yrkesaktivandel-T]])*100/T$439</f>
        <v>46.392385428151002</v>
      </c>
      <c r="AE104" s="7">
        <f>100-(U$436-Tabell2[[#This Row],[Inntekt-T]])*100/U$439</f>
        <v>55.964338110822709</v>
      </c>
      <c r="AF104" s="7">
        <v>12</v>
      </c>
      <c r="AG104" s="7">
        <v>8.8097989031065218</v>
      </c>
      <c r="AH104" s="7">
        <v>0.36408398221326055</v>
      </c>
      <c r="AI104" s="7">
        <v>11.385477721929703</v>
      </c>
      <c r="AJ104" s="7">
        <v>3.4260158887210759</v>
      </c>
      <c r="AK104" s="7">
        <v>2.6387990651890427</v>
      </c>
      <c r="AL104" s="7">
        <v>9.6998580854864258</v>
      </c>
      <c r="AM104" s="7">
        <v>4.6392385428151002</v>
      </c>
      <c r="AN104" s="7">
        <v>5.5964338110822709</v>
      </c>
      <c r="AO10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58.5597060005434</v>
      </c>
    </row>
    <row r="105" spans="1:41" x14ac:dyDescent="0.3">
      <c r="A105" s="2" t="s">
        <v>102</v>
      </c>
      <c r="B105">
        <f>'Rådata-K'!N104</f>
        <v>2</v>
      </c>
      <c r="C105" s="7">
        <f>'Rådata-K'!M104</f>
        <v>64.316666666700002</v>
      </c>
      <c r="D105" s="24">
        <f>'Rådata-K'!O104</f>
        <v>29.784293826787295</v>
      </c>
      <c r="E105" s="24">
        <f>'Rådata-K'!P104</f>
        <v>26.671565025716387</v>
      </c>
      <c r="F105" s="24">
        <f>'Rådata-K'!Q104</f>
        <v>9.6066746126340918E-2</v>
      </c>
      <c r="G105" s="24">
        <f>'Rådata-K'!R104</f>
        <v>0.11302015369001014</v>
      </c>
      <c r="H105" s="24">
        <f>'Rådata-K'!S104</f>
        <v>0.16499927504712195</v>
      </c>
      <c r="I105" s="24">
        <f>'Rådata-K'!T104</f>
        <v>1.9271535941414175E-3</v>
      </c>
      <c r="J105" s="24">
        <f>'Rådata-K'!U104</f>
        <v>0.81970675944333993</v>
      </c>
      <c r="K105" s="24">
        <f>'Rådata-K'!L104</f>
        <v>374800</v>
      </c>
      <c r="L105" s="24">
        <f>Tabell2[[#This Row],[NIBR11]]</f>
        <v>2</v>
      </c>
      <c r="M105" s="24">
        <f>IF(Tabell2[[#This Row],[ReisetidOslo]]&lt;=C$434,C$434,IF(Tabell2[[#This Row],[ReisetidOslo]]&gt;=C$435,C$435,Tabell2[[#This Row],[ReisetidOslo]]))</f>
        <v>64.316666666700002</v>
      </c>
      <c r="N105" s="24">
        <f>IF(Tabell2[[#This Row],[Beftettland]]&lt;=D$434,D$434,IF(Tabell2[[#This Row],[Beftettland]]&gt;=D$435,D$435,Tabell2[[#This Row],[Beftettland]]))</f>
        <v>29.784293826787295</v>
      </c>
      <c r="O105" s="24">
        <f>IF(Tabell2[[#This Row],[Beftettotal]]&lt;=E$434,E$434,IF(Tabell2[[#This Row],[Beftettotal]]&gt;=E$435,E$435,Tabell2[[#This Row],[Beftettotal]]))</f>
        <v>26.671565025716387</v>
      </c>
      <c r="P105" s="24">
        <f>IF(Tabell2[[#This Row],[Befvekst10]]&lt;=F$434,F$434,IF(Tabell2[[#This Row],[Befvekst10]]&gt;=F$435,F$435,Tabell2[[#This Row],[Befvekst10]]))</f>
        <v>9.6066746126340918E-2</v>
      </c>
      <c r="Q105" s="24">
        <f>IF(Tabell2[[#This Row],[Kvinneandel]]&lt;=G$434,G$434,IF(Tabell2[[#This Row],[Kvinneandel]]&gt;=G$435,G$435,Tabell2[[#This Row],[Kvinneandel]]))</f>
        <v>0.11302015369001014</v>
      </c>
      <c r="R105" s="24">
        <f>IF(Tabell2[[#This Row],[Eldreandel]]&lt;=H$434,H$434,IF(Tabell2[[#This Row],[Eldreandel]]&gt;=H$435,H$435,Tabell2[[#This Row],[Eldreandel]]))</f>
        <v>0.16499927504712195</v>
      </c>
      <c r="S105" s="24">
        <f>IF(Tabell2[[#This Row],[Sysselsettingsvekst10]]&lt;=I$434,I$434,IF(Tabell2[[#This Row],[Sysselsettingsvekst10]]&gt;=I$435,I$435,Tabell2[[#This Row],[Sysselsettingsvekst10]]))</f>
        <v>1.9271535941414175E-3</v>
      </c>
      <c r="T105" s="24">
        <f>IF(Tabell2[[#This Row],[Yrkesaktivandel]]&lt;=J$434,J$434,IF(Tabell2[[#This Row],[Yrkesaktivandel]]&gt;=J$435,J$435,Tabell2[[#This Row],[Yrkesaktivandel]]))</f>
        <v>0.81970675944333993</v>
      </c>
      <c r="U105" s="24">
        <f>IF(Tabell2[[#This Row],[Inntekt]]&lt;=K$434,K$434,IF(Tabell2[[#This Row],[Inntekt]]&gt;=K$435,K$435,Tabell2[[#This Row],[Inntekt]]))</f>
        <v>374800</v>
      </c>
      <c r="V105" s="7">
        <f>IF(Tabell2[[#This Row],[NIBR11-T]]&lt;=L$437,100,IF(Tabell2[[#This Row],[NIBR11-T]]&gt;=L$436,0,100*(L$436-Tabell2[[#This Row],[NIBR11-T]])/L$439))</f>
        <v>90</v>
      </c>
      <c r="W105" s="7">
        <f>(M$436-Tabell2[[#This Row],[ReisetidOslo-T]])*100/M$439</f>
        <v>94.832906764154089</v>
      </c>
      <c r="X105" s="7">
        <f>100-(N$436-Tabell2[[#This Row],[Beftettland-T]])*100/N$439</f>
        <v>20.994087807311189</v>
      </c>
      <c r="Y105" s="7">
        <f>100-(O$436-Tabell2[[#This Row],[Beftettotal-T]])*100/O$439</f>
        <v>19.406548008188835</v>
      </c>
      <c r="Z105" s="7">
        <f>100-(P$436-Tabell2[[#This Row],[Befvekst10-T]])*100/P$439</f>
        <v>67.647556237711981</v>
      </c>
      <c r="AA105" s="7">
        <f>100-(Q$436-Tabell2[[#This Row],[Kvinneandel-T]])*100/Q$439</f>
        <v>61.731376599726488</v>
      </c>
      <c r="AB105" s="7">
        <f>(R$436-Tabell2[[#This Row],[Eldreandel-T]])*100/R$439</f>
        <v>59.714830501713365</v>
      </c>
      <c r="AC105" s="7">
        <f>100-(S$436-Tabell2[[#This Row],[Sysselsettingsvekst10-T]])*100/S$439</f>
        <v>30.839336741975629</v>
      </c>
      <c r="AD105" s="7">
        <f>100-(T$436-Tabell2[[#This Row],[Yrkesaktivandel-T]])*100/T$439</f>
        <v>14.685975913740307</v>
      </c>
      <c r="AE105" s="7">
        <f>100-(U$436-Tabell2[[#This Row],[Inntekt-T]])*100/U$439</f>
        <v>34.2963548132265</v>
      </c>
      <c r="AF105" s="7">
        <v>18</v>
      </c>
      <c r="AG105" s="7">
        <v>9.4832906764154092</v>
      </c>
      <c r="AH105" s="7">
        <v>1.9406548008188835</v>
      </c>
      <c r="AI105" s="7">
        <v>13.529511247542397</v>
      </c>
      <c r="AJ105" s="7">
        <v>3.0865688299863248</v>
      </c>
      <c r="AK105" s="7">
        <v>2.9857415250856683</v>
      </c>
      <c r="AL105" s="7">
        <v>3.0839336741975631</v>
      </c>
      <c r="AM105" s="7">
        <v>1.4685975913740308</v>
      </c>
      <c r="AN105" s="7">
        <v>3.4296354813226504</v>
      </c>
      <c r="AO10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57.007933826742914</v>
      </c>
    </row>
    <row r="106" spans="1:41" x14ac:dyDescent="0.3">
      <c r="A106" s="2" t="s">
        <v>103</v>
      </c>
      <c r="B106">
        <f>'Rådata-K'!N105</f>
        <v>2</v>
      </c>
      <c r="C106" s="7">
        <f>'Rådata-K'!M105</f>
        <v>44.916666666700003</v>
      </c>
      <c r="D106" s="24">
        <f>'Rådata-K'!O105</f>
        <v>43.562010959297453</v>
      </c>
      <c r="E106" s="24">
        <f>'Rådata-K'!P105</f>
        <v>39.862926711773845</v>
      </c>
      <c r="F106" s="24">
        <f>'Rådata-K'!Q105</f>
        <v>0.15039494470774084</v>
      </c>
      <c r="G106" s="24">
        <f>'Rådata-K'!R105</f>
        <v>0.1204614117000824</v>
      </c>
      <c r="H106" s="24">
        <f>'Rådata-K'!S105</f>
        <v>0.14633342488327383</v>
      </c>
      <c r="I106" s="24">
        <f>'Rådata-K'!T105</f>
        <v>0.18411284335560496</v>
      </c>
      <c r="J106" s="24">
        <f>'Rådata-K'!U105</f>
        <v>0.84038874871507341</v>
      </c>
      <c r="K106" s="24">
        <f>'Rådata-K'!L105</f>
        <v>394000</v>
      </c>
      <c r="L106" s="24">
        <f>Tabell2[[#This Row],[NIBR11]]</f>
        <v>2</v>
      </c>
      <c r="M106" s="24">
        <f>IF(Tabell2[[#This Row],[ReisetidOslo]]&lt;=C$434,C$434,IF(Tabell2[[#This Row],[ReisetidOslo]]&gt;=C$435,C$435,Tabell2[[#This Row],[ReisetidOslo]]))</f>
        <v>52.54</v>
      </c>
      <c r="N106" s="24">
        <f>IF(Tabell2[[#This Row],[Beftettland]]&lt;=D$434,D$434,IF(Tabell2[[#This Row],[Beftettland]]&gt;=D$435,D$435,Tabell2[[#This Row],[Beftettland]]))</f>
        <v>43.562010959297453</v>
      </c>
      <c r="O106" s="24">
        <f>IF(Tabell2[[#This Row],[Beftettotal]]&lt;=E$434,E$434,IF(Tabell2[[#This Row],[Beftettotal]]&gt;=E$435,E$435,Tabell2[[#This Row],[Beftettotal]]))</f>
        <v>39.862926711773845</v>
      </c>
      <c r="P106" s="24">
        <f>IF(Tabell2[[#This Row],[Befvekst10]]&lt;=F$434,F$434,IF(Tabell2[[#This Row],[Befvekst10]]&gt;=F$435,F$435,Tabell2[[#This Row],[Befvekst10]]))</f>
        <v>0.15039494470774084</v>
      </c>
      <c r="Q106" s="24">
        <f>IF(Tabell2[[#This Row],[Kvinneandel]]&lt;=G$434,G$434,IF(Tabell2[[#This Row],[Kvinneandel]]&gt;=G$435,G$435,Tabell2[[#This Row],[Kvinneandel]]))</f>
        <v>0.1204614117000824</v>
      </c>
      <c r="R106" s="24">
        <f>IF(Tabell2[[#This Row],[Eldreandel]]&lt;=H$434,H$434,IF(Tabell2[[#This Row],[Eldreandel]]&gt;=H$435,H$435,Tabell2[[#This Row],[Eldreandel]]))</f>
        <v>0.14633342488327383</v>
      </c>
      <c r="S106" s="24">
        <f>IF(Tabell2[[#This Row],[Sysselsettingsvekst10]]&lt;=I$434,I$434,IF(Tabell2[[#This Row],[Sysselsettingsvekst10]]&gt;=I$435,I$435,Tabell2[[#This Row],[Sysselsettingsvekst10]]))</f>
        <v>0.18411284335560496</v>
      </c>
      <c r="T106" s="24">
        <f>IF(Tabell2[[#This Row],[Yrkesaktivandel]]&lt;=J$434,J$434,IF(Tabell2[[#This Row],[Yrkesaktivandel]]&gt;=J$435,J$435,Tabell2[[#This Row],[Yrkesaktivandel]]))</f>
        <v>0.84038874871507341</v>
      </c>
      <c r="U106" s="24">
        <f>IF(Tabell2[[#This Row],[Inntekt]]&lt;=K$434,K$434,IF(Tabell2[[#This Row],[Inntekt]]&gt;=K$435,K$435,Tabell2[[#This Row],[Inntekt]]))</f>
        <v>394000</v>
      </c>
      <c r="V106" s="7">
        <f>IF(Tabell2[[#This Row],[NIBR11-T]]&lt;=L$437,100,IF(Tabell2[[#This Row],[NIBR11-T]]&gt;=L$436,0,100*(L$436-Tabell2[[#This Row],[NIBR11-T]])/L$439))</f>
        <v>90</v>
      </c>
      <c r="W106" s="7">
        <f>(M$436-Tabell2[[#This Row],[ReisetidOslo-T]])*100/M$439</f>
        <v>100</v>
      </c>
      <c r="X106" s="7">
        <f>100-(N$436-Tabell2[[#This Row],[Beftettland-T]])*100/N$439</f>
        <v>31.185516752842318</v>
      </c>
      <c r="Y106" s="7">
        <f>100-(O$436-Tabell2[[#This Row],[Beftettotal-T]])*100/O$439</f>
        <v>29.503724973673258</v>
      </c>
      <c r="Z106" s="7">
        <f>100-(P$436-Tabell2[[#This Row],[Befvekst10-T]])*100/P$439</f>
        <v>89.637495034100056</v>
      </c>
      <c r="AA106" s="7">
        <f>100-(Q$436-Tabell2[[#This Row],[Kvinneandel-T]])*100/Q$439</f>
        <v>81.279957796747354</v>
      </c>
      <c r="AB106" s="7">
        <f>(R$436-Tabell2[[#This Row],[Eldreandel-T]])*100/R$439</f>
        <v>79.860039518962907</v>
      </c>
      <c r="AC106" s="7">
        <f>100-(S$436-Tabell2[[#This Row],[Sysselsettingsvekst10-T]])*100/S$439</f>
        <v>90.295873590144907</v>
      </c>
      <c r="AD106" s="7">
        <f>100-(T$436-Tabell2[[#This Row],[Yrkesaktivandel-T]])*100/T$439</f>
        <v>29.272855182727866</v>
      </c>
      <c r="AE106" s="7">
        <f>100-(U$436-Tabell2[[#This Row],[Inntekt-T]])*100/U$439</f>
        <v>55.964338110822709</v>
      </c>
      <c r="AF106" s="7">
        <v>18</v>
      </c>
      <c r="AG106" s="7">
        <v>10</v>
      </c>
      <c r="AH106" s="7">
        <v>2.9503724973673258</v>
      </c>
      <c r="AI106" s="7">
        <v>17.92749900682001</v>
      </c>
      <c r="AJ106" s="7">
        <v>4.0639978898373679</v>
      </c>
      <c r="AK106" s="7">
        <v>3.9930019759481454</v>
      </c>
      <c r="AL106" s="7">
        <v>9.0295873590144904</v>
      </c>
      <c r="AM106" s="7">
        <v>2.9272855182727868</v>
      </c>
      <c r="AN106" s="7">
        <v>5.5964338110822709</v>
      </c>
      <c r="AO10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74.488178058342385</v>
      </c>
    </row>
    <row r="107" spans="1:41" x14ac:dyDescent="0.3">
      <c r="A107" s="2" t="s">
        <v>104</v>
      </c>
      <c r="B107">
        <f>'Rådata-K'!N106</f>
        <v>2</v>
      </c>
      <c r="C107" s="7">
        <f>'Rådata-K'!M106</f>
        <v>39.316666666700002</v>
      </c>
      <c r="D107" s="24">
        <f>'Rådata-K'!O106</f>
        <v>214.17550626808102</v>
      </c>
      <c r="E107" s="24">
        <f>'Rådata-K'!P106</f>
        <v>200.64881734559791</v>
      </c>
      <c r="F107" s="24">
        <f>'Rådata-K'!Q106</f>
        <v>0.1282963099801413</v>
      </c>
      <c r="G107" s="24">
        <f>'Rådata-K'!R106</f>
        <v>0.12606933813597479</v>
      </c>
      <c r="H107" s="24">
        <f>'Rådata-K'!S106</f>
        <v>0.13241373664606443</v>
      </c>
      <c r="I107" s="24">
        <f>'Rådata-K'!T106</f>
        <v>0.14780526735833988</v>
      </c>
      <c r="J107" s="24">
        <f>'Rådata-K'!U106</f>
        <v>0.82576228998133172</v>
      </c>
      <c r="K107" s="24">
        <f>'Rådata-K'!L106</f>
        <v>396500</v>
      </c>
      <c r="L107" s="24">
        <f>Tabell2[[#This Row],[NIBR11]]</f>
        <v>2</v>
      </c>
      <c r="M107" s="24">
        <f>IF(Tabell2[[#This Row],[ReisetidOslo]]&lt;=C$434,C$434,IF(Tabell2[[#This Row],[ReisetidOslo]]&gt;=C$435,C$435,Tabell2[[#This Row],[ReisetidOslo]]))</f>
        <v>52.54</v>
      </c>
      <c r="N107" s="24">
        <f>IF(Tabell2[[#This Row],[Beftettland]]&lt;=D$434,D$434,IF(Tabell2[[#This Row],[Beftettland]]&gt;=D$435,D$435,Tabell2[[#This Row],[Beftettland]]))</f>
        <v>136.59179999736304</v>
      </c>
      <c r="O107" s="24">
        <f>IF(Tabell2[[#This Row],[Beftettotal]]&lt;=E$434,E$434,IF(Tabell2[[#This Row],[Beftettotal]]&gt;=E$435,E$435,Tabell2[[#This Row],[Beftettotal]]))</f>
        <v>131.96212083018065</v>
      </c>
      <c r="P107" s="24">
        <f>IF(Tabell2[[#This Row],[Befvekst10]]&lt;=F$434,F$434,IF(Tabell2[[#This Row],[Befvekst10]]&gt;=F$435,F$435,Tabell2[[#This Row],[Befvekst10]]))</f>
        <v>0.1282963099801413</v>
      </c>
      <c r="Q107" s="24">
        <f>IF(Tabell2[[#This Row],[Kvinneandel]]&lt;=G$434,G$434,IF(Tabell2[[#This Row],[Kvinneandel]]&gt;=G$435,G$435,Tabell2[[#This Row],[Kvinneandel]]))</f>
        <v>0.12606933813597479</v>
      </c>
      <c r="R107" s="24">
        <f>IF(Tabell2[[#This Row],[Eldreandel]]&lt;=H$434,H$434,IF(Tabell2[[#This Row],[Eldreandel]]&gt;=H$435,H$435,Tabell2[[#This Row],[Eldreandel]]))</f>
        <v>0.13241373664606443</v>
      </c>
      <c r="S107" s="24">
        <f>IF(Tabell2[[#This Row],[Sysselsettingsvekst10]]&lt;=I$434,I$434,IF(Tabell2[[#This Row],[Sysselsettingsvekst10]]&gt;=I$435,I$435,Tabell2[[#This Row],[Sysselsettingsvekst10]]))</f>
        <v>0.14780526735833988</v>
      </c>
      <c r="T107" s="24">
        <f>IF(Tabell2[[#This Row],[Yrkesaktivandel]]&lt;=J$434,J$434,IF(Tabell2[[#This Row],[Yrkesaktivandel]]&gt;=J$435,J$435,Tabell2[[#This Row],[Yrkesaktivandel]]))</f>
        <v>0.82576228998133172</v>
      </c>
      <c r="U107" s="24">
        <f>IF(Tabell2[[#This Row],[Inntekt]]&lt;=K$434,K$434,IF(Tabell2[[#This Row],[Inntekt]]&gt;=K$435,K$435,Tabell2[[#This Row],[Inntekt]]))</f>
        <v>396500</v>
      </c>
      <c r="V107" s="7">
        <f>IF(Tabell2[[#This Row],[NIBR11-T]]&lt;=L$437,100,IF(Tabell2[[#This Row],[NIBR11-T]]&gt;=L$436,0,100*(L$436-Tabell2[[#This Row],[NIBR11-T]])/L$439))</f>
        <v>90</v>
      </c>
      <c r="W107" s="7">
        <f>(M$436-Tabell2[[#This Row],[ReisetidOslo-T]])*100/M$439</f>
        <v>100</v>
      </c>
      <c r="X107" s="7">
        <f>100-(N$436-Tabell2[[#This Row],[Beftettland-T]])*100/N$439</f>
        <v>100</v>
      </c>
      <c r="Y107" s="7">
        <f>100-(O$436-Tabell2[[#This Row],[Beftettotal-T]])*100/O$439</f>
        <v>100</v>
      </c>
      <c r="Z107" s="7">
        <f>100-(P$436-Tabell2[[#This Row],[Befvekst10-T]])*100/P$439</f>
        <v>80.692828399966132</v>
      </c>
      <c r="AA107" s="7">
        <f>100-(Q$436-Tabell2[[#This Row],[Kvinneandel-T]])*100/Q$439</f>
        <v>96.012279284669759</v>
      </c>
      <c r="AB107" s="7">
        <f>(R$436-Tabell2[[#This Row],[Eldreandel-T]])*100/R$439</f>
        <v>94.882930334653636</v>
      </c>
      <c r="AC107" s="7">
        <f>100-(S$436-Tabell2[[#This Row],[Sysselsettingsvekst10-T]])*100/S$439</f>
        <v>78.446848933073753</v>
      </c>
      <c r="AD107" s="7">
        <f>100-(T$436-Tabell2[[#This Row],[Yrkesaktivandel-T]])*100/T$439</f>
        <v>18.956904193742744</v>
      </c>
      <c r="AE107" s="7">
        <f>100-(U$436-Tabell2[[#This Row],[Inntekt-T]])*100/U$439</f>
        <v>58.78569010269721</v>
      </c>
      <c r="AF107" s="7">
        <v>18</v>
      </c>
      <c r="AG107" s="7">
        <v>10</v>
      </c>
      <c r="AH107" s="7">
        <v>10</v>
      </c>
      <c r="AI107" s="7">
        <v>16.138565679993228</v>
      </c>
      <c r="AJ107" s="7">
        <v>4.800613964233488</v>
      </c>
      <c r="AK107" s="7">
        <v>4.7441465167326822</v>
      </c>
      <c r="AL107" s="7">
        <v>7.8446848933073756</v>
      </c>
      <c r="AM107" s="7">
        <v>1.8956904193742745</v>
      </c>
      <c r="AN107" s="7">
        <v>5.8785690102697217</v>
      </c>
      <c r="AO10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79.302270483910775</v>
      </c>
    </row>
    <row r="108" spans="1:41" x14ac:dyDescent="0.3">
      <c r="A108" s="2" t="s">
        <v>105</v>
      </c>
      <c r="B108">
        <f>'Rådata-K'!N107</f>
        <v>2</v>
      </c>
      <c r="C108" s="7">
        <f>'Rådata-K'!M107</f>
        <v>28.833333333300001</v>
      </c>
      <c r="D108" s="24">
        <f>'Rådata-K'!O107</f>
        <v>91.286763401568095</v>
      </c>
      <c r="E108" s="24">
        <f>'Rådata-K'!P107</f>
        <v>85.314986737400531</v>
      </c>
      <c r="F108" s="24">
        <f>'Rådata-K'!Q107</f>
        <v>0.17632806071134688</v>
      </c>
      <c r="G108" s="24">
        <f>'Rådata-K'!R107</f>
        <v>0.11806770043915898</v>
      </c>
      <c r="H108" s="24">
        <f>'Rådata-K'!S107</f>
        <v>0.13648905988885002</v>
      </c>
      <c r="I108" s="24">
        <f>'Rådata-K'!T107</f>
        <v>0.23529411764705888</v>
      </c>
      <c r="J108" s="24">
        <f>'Rådata-K'!U107</f>
        <v>0.86285448628544859</v>
      </c>
      <c r="K108" s="24">
        <f>'Rådata-K'!L107</f>
        <v>456400</v>
      </c>
      <c r="L108" s="24">
        <f>Tabell2[[#This Row],[NIBR11]]</f>
        <v>2</v>
      </c>
      <c r="M108" s="24">
        <f>IF(Tabell2[[#This Row],[ReisetidOslo]]&lt;=C$434,C$434,IF(Tabell2[[#This Row],[ReisetidOslo]]&gt;=C$435,C$435,Tabell2[[#This Row],[ReisetidOslo]]))</f>
        <v>52.54</v>
      </c>
      <c r="N108" s="24">
        <f>IF(Tabell2[[#This Row],[Beftettland]]&lt;=D$434,D$434,IF(Tabell2[[#This Row],[Beftettland]]&gt;=D$435,D$435,Tabell2[[#This Row],[Beftettland]]))</f>
        <v>91.286763401568095</v>
      </c>
      <c r="O108" s="24">
        <f>IF(Tabell2[[#This Row],[Beftettotal]]&lt;=E$434,E$434,IF(Tabell2[[#This Row],[Beftettotal]]&gt;=E$435,E$435,Tabell2[[#This Row],[Beftettotal]]))</f>
        <v>85.314986737400531</v>
      </c>
      <c r="P108" s="24">
        <f>IF(Tabell2[[#This Row],[Befvekst10]]&lt;=F$434,F$434,IF(Tabell2[[#This Row],[Befvekst10]]&gt;=F$435,F$435,Tabell2[[#This Row],[Befvekst10]]))</f>
        <v>0.17599648151968622</v>
      </c>
      <c r="Q108" s="24">
        <f>IF(Tabell2[[#This Row],[Kvinneandel]]&lt;=G$434,G$434,IF(Tabell2[[#This Row],[Kvinneandel]]&gt;=G$435,G$435,Tabell2[[#This Row],[Kvinneandel]]))</f>
        <v>0.11806770043915898</v>
      </c>
      <c r="R108" s="24">
        <f>IF(Tabell2[[#This Row],[Eldreandel]]&lt;=H$434,H$434,IF(Tabell2[[#This Row],[Eldreandel]]&gt;=H$435,H$435,Tabell2[[#This Row],[Eldreandel]]))</f>
        <v>0.13648905988885002</v>
      </c>
      <c r="S108" s="24">
        <f>IF(Tabell2[[#This Row],[Sysselsettingsvekst10]]&lt;=I$434,I$434,IF(Tabell2[[#This Row],[Sysselsettingsvekst10]]&gt;=I$435,I$435,Tabell2[[#This Row],[Sysselsettingsvekst10]]))</f>
        <v>0.21384805931725109</v>
      </c>
      <c r="T108" s="24">
        <f>IF(Tabell2[[#This Row],[Yrkesaktivandel]]&lt;=J$434,J$434,IF(Tabell2[[#This Row],[Yrkesaktivandel]]&gt;=J$435,J$435,Tabell2[[#This Row],[Yrkesaktivandel]]))</f>
        <v>0.86285448628544859</v>
      </c>
      <c r="U108" s="24">
        <f>IF(Tabell2[[#This Row],[Inntekt]]&lt;=K$434,K$434,IF(Tabell2[[#This Row],[Inntekt]]&gt;=K$435,K$435,Tabell2[[#This Row],[Inntekt]]))</f>
        <v>433020</v>
      </c>
      <c r="V108" s="7">
        <f>IF(Tabell2[[#This Row],[NIBR11-T]]&lt;=L$437,100,IF(Tabell2[[#This Row],[NIBR11-T]]&gt;=L$436,0,100*(L$436-Tabell2[[#This Row],[NIBR11-T]])/L$439))</f>
        <v>90</v>
      </c>
      <c r="W108" s="7">
        <f>(M$436-Tabell2[[#This Row],[ReisetidOslo-T]])*100/M$439</f>
        <v>100</v>
      </c>
      <c r="X108" s="7">
        <f>100-(N$436-Tabell2[[#This Row],[Beftettland-T]])*100/N$439</f>
        <v>66.487694811846438</v>
      </c>
      <c r="Y108" s="7">
        <f>100-(O$436-Tabell2[[#This Row],[Beftettotal-T]])*100/O$439</f>
        <v>64.294484597044431</v>
      </c>
      <c r="Z108" s="7">
        <f>100-(P$436-Tabell2[[#This Row],[Befvekst10-T]])*100/P$439</f>
        <v>100</v>
      </c>
      <c r="AA108" s="7">
        <f>100-(Q$436-Tabell2[[#This Row],[Kvinneandel-T]])*100/Q$439</f>
        <v>74.991550798488973</v>
      </c>
      <c r="AB108" s="7">
        <f>(R$436-Tabell2[[#This Row],[Eldreandel-T]])*100/R$439</f>
        <v>90.484618025376776</v>
      </c>
      <c r="AC108" s="7">
        <f>100-(S$436-Tabell2[[#This Row],[Sysselsettingsvekst10-T]])*100/S$439</f>
        <v>100</v>
      </c>
      <c r="AD108" s="7">
        <f>100-(T$436-Tabell2[[#This Row],[Yrkesaktivandel-T]])*100/T$439</f>
        <v>45.117801107523491</v>
      </c>
      <c r="AE108" s="7">
        <f>100-(U$436-Tabell2[[#This Row],[Inntekt-T]])*100/U$439</f>
        <v>100</v>
      </c>
      <c r="AF108" s="7">
        <v>18</v>
      </c>
      <c r="AG108" s="7">
        <v>10</v>
      </c>
      <c r="AH108" s="7">
        <v>6.4294484597044432</v>
      </c>
      <c r="AI108" s="7">
        <v>20</v>
      </c>
      <c r="AJ108" s="7">
        <v>3.7495775399244486</v>
      </c>
      <c r="AK108" s="7">
        <v>4.5242309012688393</v>
      </c>
      <c r="AL108" s="7">
        <v>10</v>
      </c>
      <c r="AM108" s="7">
        <v>4.5117801107523494</v>
      </c>
      <c r="AN108" s="7">
        <v>10</v>
      </c>
      <c r="AO10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87.215037011650082</v>
      </c>
    </row>
    <row r="109" spans="1:41" x14ac:dyDescent="0.3">
      <c r="A109" s="2" t="s">
        <v>106</v>
      </c>
      <c r="B109">
        <f>'Rådata-K'!N108</f>
        <v>1</v>
      </c>
      <c r="C109" s="7">
        <f>'Rådata-K'!M108</f>
        <v>26.433333333299998</v>
      </c>
      <c r="D109" s="24">
        <f>'Rådata-K'!O108</f>
        <v>193.16915333453173</v>
      </c>
      <c r="E109" s="24">
        <f>'Rådata-K'!P108</f>
        <v>190.81949746959069</v>
      </c>
      <c r="F109" s="24">
        <f>'Rådata-K'!Q108</f>
        <v>0.2215528020916222</v>
      </c>
      <c r="G109" s="24">
        <f>'Rådata-K'!R108</f>
        <v>0.11664805509026614</v>
      </c>
      <c r="H109" s="24">
        <f>'Rådata-K'!S108</f>
        <v>0.12432533035548111</v>
      </c>
      <c r="I109" s="24">
        <f>'Rådata-K'!T108</f>
        <v>0.17698362050627536</v>
      </c>
      <c r="J109" s="24">
        <f>'Rådata-K'!U108</f>
        <v>0.87820360231690864</v>
      </c>
      <c r="K109" s="24">
        <f>'Rådata-K'!L108</f>
        <v>452100</v>
      </c>
      <c r="L109" s="24">
        <f>Tabell2[[#This Row],[NIBR11]]</f>
        <v>1</v>
      </c>
      <c r="M109" s="24">
        <f>IF(Tabell2[[#This Row],[ReisetidOslo]]&lt;=C$434,C$434,IF(Tabell2[[#This Row],[ReisetidOslo]]&gt;=C$435,C$435,Tabell2[[#This Row],[ReisetidOslo]]))</f>
        <v>52.54</v>
      </c>
      <c r="N109" s="24">
        <f>IF(Tabell2[[#This Row],[Beftettland]]&lt;=D$434,D$434,IF(Tabell2[[#This Row],[Beftettland]]&gt;=D$435,D$435,Tabell2[[#This Row],[Beftettland]]))</f>
        <v>136.59179999736304</v>
      </c>
      <c r="O109" s="24">
        <f>IF(Tabell2[[#This Row],[Beftettotal]]&lt;=E$434,E$434,IF(Tabell2[[#This Row],[Beftettotal]]&gt;=E$435,E$435,Tabell2[[#This Row],[Beftettotal]]))</f>
        <v>131.96212083018065</v>
      </c>
      <c r="P109" s="24">
        <f>IF(Tabell2[[#This Row],[Befvekst10]]&lt;=F$434,F$434,IF(Tabell2[[#This Row],[Befvekst10]]&gt;=F$435,F$435,Tabell2[[#This Row],[Befvekst10]]))</f>
        <v>0.17599648151968622</v>
      </c>
      <c r="Q109" s="24">
        <f>IF(Tabell2[[#This Row],[Kvinneandel]]&lt;=G$434,G$434,IF(Tabell2[[#This Row],[Kvinneandel]]&gt;=G$435,G$435,Tabell2[[#This Row],[Kvinneandel]]))</f>
        <v>0.11664805509026614</v>
      </c>
      <c r="R109" s="24">
        <f>IF(Tabell2[[#This Row],[Eldreandel]]&lt;=H$434,H$434,IF(Tabell2[[#This Row],[Eldreandel]]&gt;=H$435,H$435,Tabell2[[#This Row],[Eldreandel]]))</f>
        <v>0.12767243783057225</v>
      </c>
      <c r="S109" s="24">
        <f>IF(Tabell2[[#This Row],[Sysselsettingsvekst10]]&lt;=I$434,I$434,IF(Tabell2[[#This Row],[Sysselsettingsvekst10]]&gt;=I$435,I$435,Tabell2[[#This Row],[Sysselsettingsvekst10]]))</f>
        <v>0.17698362050627536</v>
      </c>
      <c r="T109" s="24">
        <f>IF(Tabell2[[#This Row],[Yrkesaktivandel]]&lt;=J$434,J$434,IF(Tabell2[[#This Row],[Yrkesaktivandel]]&gt;=J$435,J$435,Tabell2[[#This Row],[Yrkesaktivandel]]))</f>
        <v>0.87820360231690864</v>
      </c>
      <c r="U109" s="24">
        <f>IF(Tabell2[[#This Row],[Inntekt]]&lt;=K$434,K$434,IF(Tabell2[[#This Row],[Inntekt]]&gt;=K$435,K$435,Tabell2[[#This Row],[Inntekt]]))</f>
        <v>433020</v>
      </c>
      <c r="V109" s="7">
        <f>IF(Tabell2[[#This Row],[NIBR11-T]]&lt;=L$437,100,IF(Tabell2[[#This Row],[NIBR11-T]]&gt;=L$436,0,100*(L$436-Tabell2[[#This Row],[NIBR11-T]])/L$439))</f>
        <v>100</v>
      </c>
      <c r="W109" s="7">
        <f>(M$436-Tabell2[[#This Row],[ReisetidOslo-T]])*100/M$439</f>
        <v>100</v>
      </c>
      <c r="X109" s="7">
        <f>100-(N$436-Tabell2[[#This Row],[Beftettland-T]])*100/N$439</f>
        <v>100</v>
      </c>
      <c r="Y109" s="7">
        <f>100-(O$436-Tabell2[[#This Row],[Beftettotal-T]])*100/O$439</f>
        <v>100</v>
      </c>
      <c r="Z109" s="7">
        <f>100-(P$436-Tabell2[[#This Row],[Befvekst10-T]])*100/P$439</f>
        <v>100</v>
      </c>
      <c r="AA109" s="7">
        <f>100-(Q$436-Tabell2[[#This Row],[Kvinneandel-T]])*100/Q$439</f>
        <v>71.262066840771013</v>
      </c>
      <c r="AB109" s="7">
        <f>(R$436-Tabell2[[#This Row],[Eldreandel-T]])*100/R$439</f>
        <v>100</v>
      </c>
      <c r="AC109" s="7">
        <f>100-(S$436-Tabell2[[#This Row],[Sysselsettingsvekst10-T]])*100/S$439</f>
        <v>87.969242439284699</v>
      </c>
      <c r="AD109" s="7">
        <f>100-(T$436-Tabell2[[#This Row],[Yrkesaktivandel-T]])*100/T$439</f>
        <v>55.943437824325784</v>
      </c>
      <c r="AE109" s="7">
        <f>100-(U$436-Tabell2[[#This Row],[Inntekt-T]])*100/U$439</f>
        <v>100</v>
      </c>
      <c r="AF109" s="7">
        <v>20</v>
      </c>
      <c r="AG109" s="7">
        <v>10</v>
      </c>
      <c r="AH109" s="7">
        <v>10</v>
      </c>
      <c r="AI109" s="7">
        <v>20</v>
      </c>
      <c r="AJ109" s="7">
        <v>3.5631033420385507</v>
      </c>
      <c r="AK109" s="7">
        <v>5</v>
      </c>
      <c r="AL109" s="7">
        <v>8.7969242439284709</v>
      </c>
      <c r="AM109" s="7">
        <v>5.5943437824325786</v>
      </c>
      <c r="AN109" s="7">
        <v>10</v>
      </c>
      <c r="AO10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92.954371368399592</v>
      </c>
    </row>
    <row r="110" spans="1:41" x14ac:dyDescent="0.3">
      <c r="A110" s="2" t="s">
        <v>107</v>
      </c>
      <c r="B110">
        <f>'Rådata-K'!N109</f>
        <v>1</v>
      </c>
      <c r="C110" s="7">
        <f>'Rådata-K'!M109</f>
        <v>50.016666666699997</v>
      </c>
      <c r="D110" s="24">
        <f>'Rådata-K'!O109</f>
        <v>60.208519892541894</v>
      </c>
      <c r="E110" s="24">
        <f>'Rådata-K'!P109</f>
        <v>57.65649883621218</v>
      </c>
      <c r="F110" s="24">
        <f>'Rådata-K'!Q109</f>
        <v>5.609783462358342E-2</v>
      </c>
      <c r="G110" s="24">
        <f>'Rådata-K'!R109</f>
        <v>0.10007436523956231</v>
      </c>
      <c r="H110" s="24">
        <f>'Rådata-K'!S109</f>
        <v>0.17188993944544778</v>
      </c>
      <c r="I110" s="24">
        <f>'Rådata-K'!T109</f>
        <v>-9.8214285714285698E-2</v>
      </c>
      <c r="J110" s="24">
        <f>'Rådata-K'!U109</f>
        <v>0.83752817430503379</v>
      </c>
      <c r="K110" s="24">
        <f>'Rådata-K'!L109</f>
        <v>412000</v>
      </c>
      <c r="L110" s="24">
        <f>Tabell2[[#This Row],[NIBR11]]</f>
        <v>1</v>
      </c>
      <c r="M110" s="24">
        <f>IF(Tabell2[[#This Row],[ReisetidOslo]]&lt;=C$434,C$434,IF(Tabell2[[#This Row],[ReisetidOslo]]&gt;=C$435,C$435,Tabell2[[#This Row],[ReisetidOslo]]))</f>
        <v>52.54</v>
      </c>
      <c r="N110" s="24">
        <f>IF(Tabell2[[#This Row],[Beftettland]]&lt;=D$434,D$434,IF(Tabell2[[#This Row],[Beftettland]]&gt;=D$435,D$435,Tabell2[[#This Row],[Beftettland]]))</f>
        <v>60.208519892541894</v>
      </c>
      <c r="O110" s="24">
        <f>IF(Tabell2[[#This Row],[Beftettotal]]&lt;=E$434,E$434,IF(Tabell2[[#This Row],[Beftettotal]]&gt;=E$435,E$435,Tabell2[[#This Row],[Beftettotal]]))</f>
        <v>57.65649883621218</v>
      </c>
      <c r="P110" s="24">
        <f>IF(Tabell2[[#This Row],[Befvekst10]]&lt;=F$434,F$434,IF(Tabell2[[#This Row],[Befvekst10]]&gt;=F$435,F$435,Tabell2[[#This Row],[Befvekst10]]))</f>
        <v>5.609783462358342E-2</v>
      </c>
      <c r="Q110" s="24">
        <f>IF(Tabell2[[#This Row],[Kvinneandel]]&lt;=G$434,G$434,IF(Tabell2[[#This Row],[Kvinneandel]]&gt;=G$435,G$435,Tabell2[[#This Row],[Kvinneandel]]))</f>
        <v>0.10007436523956231</v>
      </c>
      <c r="R110" s="24">
        <f>IF(Tabell2[[#This Row],[Eldreandel]]&lt;=H$434,H$434,IF(Tabell2[[#This Row],[Eldreandel]]&gt;=H$435,H$435,Tabell2[[#This Row],[Eldreandel]]))</f>
        <v>0.17188993944544778</v>
      </c>
      <c r="S110" s="24">
        <f>IF(Tabell2[[#This Row],[Sysselsettingsvekst10]]&lt;=I$434,I$434,IF(Tabell2[[#This Row],[Sysselsettingsvekst10]]&gt;=I$435,I$435,Tabell2[[#This Row],[Sysselsettingsvekst10]]))</f>
        <v>-9.2570207570207563E-2</v>
      </c>
      <c r="T110" s="24">
        <f>IF(Tabell2[[#This Row],[Yrkesaktivandel]]&lt;=J$434,J$434,IF(Tabell2[[#This Row],[Yrkesaktivandel]]&gt;=J$435,J$435,Tabell2[[#This Row],[Yrkesaktivandel]]))</f>
        <v>0.83752817430503379</v>
      </c>
      <c r="U110" s="24">
        <f>IF(Tabell2[[#This Row],[Inntekt]]&lt;=K$434,K$434,IF(Tabell2[[#This Row],[Inntekt]]&gt;=K$435,K$435,Tabell2[[#This Row],[Inntekt]]))</f>
        <v>412000</v>
      </c>
      <c r="V110" s="7">
        <f>IF(Tabell2[[#This Row],[NIBR11-T]]&lt;=L$437,100,IF(Tabell2[[#This Row],[NIBR11-T]]&gt;=L$436,0,100*(L$436-Tabell2[[#This Row],[NIBR11-T]])/L$439))</f>
        <v>100</v>
      </c>
      <c r="W110" s="7">
        <f>(M$436-Tabell2[[#This Row],[ReisetidOslo-T]])*100/M$439</f>
        <v>100</v>
      </c>
      <c r="X110" s="7">
        <f>100-(N$436-Tabell2[[#This Row],[Beftettland-T]])*100/N$439</f>
        <v>43.499001733891674</v>
      </c>
      <c r="Y110" s="7">
        <f>100-(O$436-Tabell2[[#This Row],[Beftettotal-T]])*100/O$439</f>
        <v>43.123611295072543</v>
      </c>
      <c r="Z110" s="7">
        <f>100-(P$436-Tabell2[[#This Row],[Befvekst10-T]])*100/P$439</f>
        <v>51.46969758136408</v>
      </c>
      <c r="AA110" s="7">
        <f>100-(Q$436-Tabell2[[#This Row],[Kvinneandel-T]])*100/Q$439</f>
        <v>27.722100703032098</v>
      </c>
      <c r="AB110" s="7">
        <f>(R$436-Tabell2[[#This Row],[Eldreandel-T]])*100/R$439</f>
        <v>52.278047641383345</v>
      </c>
      <c r="AC110" s="7">
        <f>100-(S$436-Tabell2[[#This Row],[Sysselsettingsvekst10-T]])*100/S$439</f>
        <v>0</v>
      </c>
      <c r="AD110" s="7">
        <f>100-(T$436-Tabell2[[#This Row],[Yrkesaktivandel-T]])*100/T$439</f>
        <v>27.25530972271585</v>
      </c>
      <c r="AE110" s="7">
        <f>100-(U$436-Tabell2[[#This Row],[Inntekt-T]])*100/U$439</f>
        <v>76.278072452319151</v>
      </c>
      <c r="AF110" s="7">
        <v>20</v>
      </c>
      <c r="AG110" s="7">
        <v>10</v>
      </c>
      <c r="AH110" s="7">
        <v>4.3123611295072548</v>
      </c>
      <c r="AI110" s="7">
        <v>10.293939516272816</v>
      </c>
      <c r="AJ110" s="7">
        <v>1.3861050351516049</v>
      </c>
      <c r="AK110" s="7">
        <v>2.6139023820691674</v>
      </c>
      <c r="AL110" s="7">
        <v>0</v>
      </c>
      <c r="AM110" s="7">
        <v>2.725530972271585</v>
      </c>
      <c r="AN110" s="7">
        <v>7.6278072452319154</v>
      </c>
      <c r="AO11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58.959646280504337</v>
      </c>
    </row>
    <row r="111" spans="1:41" x14ac:dyDescent="0.3">
      <c r="A111" s="2" t="s">
        <v>108</v>
      </c>
      <c r="B111">
        <f>'Rådata-K'!N110</f>
        <v>5</v>
      </c>
      <c r="C111" s="7">
        <f>'Rådata-K'!M110</f>
        <v>75.766666666700004</v>
      </c>
      <c r="D111" s="24">
        <f>'Rådata-K'!O110</f>
        <v>5.0187809141284543</v>
      </c>
      <c r="E111" s="24">
        <f>'Rådata-K'!P110</f>
        <v>4.8032603085903443</v>
      </c>
      <c r="F111" s="24">
        <f>'Rådata-K'!Q110</f>
        <v>6.7220245156188296E-2</v>
      </c>
      <c r="G111" s="24">
        <f>'Rådata-K'!R110</f>
        <v>0.10633567988143756</v>
      </c>
      <c r="H111" s="24">
        <f>'Rådata-K'!S110</f>
        <v>0.16858095590959615</v>
      </c>
      <c r="I111" s="24">
        <f>'Rådata-K'!T110</f>
        <v>1.8087855297157729E-2</v>
      </c>
      <c r="J111" s="24">
        <f>'Rådata-K'!U110</f>
        <v>0.93799999999999994</v>
      </c>
      <c r="K111" s="24">
        <f>'Rådata-K'!L110</f>
        <v>401000</v>
      </c>
      <c r="L111" s="24">
        <f>Tabell2[[#This Row],[NIBR11]]</f>
        <v>5</v>
      </c>
      <c r="M111" s="24">
        <f>IF(Tabell2[[#This Row],[ReisetidOslo]]&lt;=C$434,C$434,IF(Tabell2[[#This Row],[ReisetidOslo]]&gt;=C$435,C$435,Tabell2[[#This Row],[ReisetidOslo]]))</f>
        <v>75.766666666700004</v>
      </c>
      <c r="N111" s="24">
        <f>IF(Tabell2[[#This Row],[Beftettland]]&lt;=D$434,D$434,IF(Tabell2[[#This Row],[Beftettland]]&gt;=D$435,D$435,Tabell2[[#This Row],[Beftettland]]))</f>
        <v>5.0187809141284543</v>
      </c>
      <c r="O111" s="24">
        <f>IF(Tabell2[[#This Row],[Beftettotal]]&lt;=E$434,E$434,IF(Tabell2[[#This Row],[Beftettotal]]&gt;=E$435,E$435,Tabell2[[#This Row],[Beftettotal]]))</f>
        <v>4.8032603085903443</v>
      </c>
      <c r="P111" s="24">
        <f>IF(Tabell2[[#This Row],[Befvekst10]]&lt;=F$434,F$434,IF(Tabell2[[#This Row],[Befvekst10]]&gt;=F$435,F$435,Tabell2[[#This Row],[Befvekst10]]))</f>
        <v>6.7220245156188296E-2</v>
      </c>
      <c r="Q111" s="24">
        <f>IF(Tabell2[[#This Row],[Kvinneandel]]&lt;=G$434,G$434,IF(Tabell2[[#This Row],[Kvinneandel]]&gt;=G$435,G$435,Tabell2[[#This Row],[Kvinneandel]]))</f>
        <v>0.10633567988143756</v>
      </c>
      <c r="R111" s="24">
        <f>IF(Tabell2[[#This Row],[Eldreandel]]&lt;=H$434,H$434,IF(Tabell2[[#This Row],[Eldreandel]]&gt;=H$435,H$435,Tabell2[[#This Row],[Eldreandel]]))</f>
        <v>0.16858095590959615</v>
      </c>
      <c r="S111" s="24">
        <f>IF(Tabell2[[#This Row],[Sysselsettingsvekst10]]&lt;=I$434,I$434,IF(Tabell2[[#This Row],[Sysselsettingsvekst10]]&gt;=I$435,I$435,Tabell2[[#This Row],[Sysselsettingsvekst10]]))</f>
        <v>1.8087855297157729E-2</v>
      </c>
      <c r="T111" s="24">
        <f>IF(Tabell2[[#This Row],[Yrkesaktivandel]]&lt;=J$434,J$434,IF(Tabell2[[#This Row],[Yrkesaktivandel]]&gt;=J$435,J$435,Tabell2[[#This Row],[Yrkesaktivandel]]))</f>
        <v>0.93799999999999994</v>
      </c>
      <c r="U111" s="24">
        <f>IF(Tabell2[[#This Row],[Inntekt]]&lt;=K$434,K$434,IF(Tabell2[[#This Row],[Inntekt]]&gt;=K$435,K$435,Tabell2[[#This Row],[Inntekt]]))</f>
        <v>401000</v>
      </c>
      <c r="V111" s="7">
        <f>IF(Tabell2[[#This Row],[NIBR11-T]]&lt;=L$437,100,IF(Tabell2[[#This Row],[NIBR11-T]]&gt;=L$436,0,100*(L$436-Tabell2[[#This Row],[NIBR11-T]])/L$439))</f>
        <v>60</v>
      </c>
      <c r="W111" s="7">
        <f>(M$436-Tabell2[[#This Row],[ReisetidOslo-T]])*100/M$439</f>
        <v>89.809140767810902</v>
      </c>
      <c r="X111" s="7">
        <f>100-(N$436-Tabell2[[#This Row],[Beftettland-T]])*100/N$439</f>
        <v>2.6749451858214286</v>
      </c>
      <c r="Y111" s="7">
        <f>100-(O$436-Tabell2[[#This Row],[Beftettotal-T]])*100/O$439</f>
        <v>2.6677042163957907</v>
      </c>
      <c r="Z111" s="7">
        <f>100-(P$436-Tabell2[[#This Row],[Befvekst10-T]])*100/P$439</f>
        <v>55.971616166310859</v>
      </c>
      <c r="AA111" s="7">
        <f>100-(Q$436-Tabell2[[#This Row],[Kvinneandel-T]])*100/Q$439</f>
        <v>44.170907814829249</v>
      </c>
      <c r="AB111" s="7">
        <f>(R$436-Tabell2[[#This Row],[Eldreandel-T]])*100/R$439</f>
        <v>55.84928411758068</v>
      </c>
      <c r="AC111" s="7">
        <f>100-(S$436-Tabell2[[#This Row],[Sysselsettingsvekst10-T]])*100/S$439</f>
        <v>36.11340276524956</v>
      </c>
      <c r="AD111" s="7">
        <f>100-(T$436-Tabell2[[#This Row],[Yrkesaktivandel-T]])*100/T$439</f>
        <v>98.117467713981156</v>
      </c>
      <c r="AE111" s="7">
        <f>100-(U$436-Tabell2[[#This Row],[Inntekt-T]])*100/U$439</f>
        <v>63.864123688071324</v>
      </c>
      <c r="AF111" s="7">
        <v>12</v>
      </c>
      <c r="AG111" s="7">
        <v>8.9809140767810902</v>
      </c>
      <c r="AH111" s="7">
        <v>0.26677042163957909</v>
      </c>
      <c r="AI111" s="7">
        <v>11.194323233262173</v>
      </c>
      <c r="AJ111" s="7">
        <v>2.2085453907414627</v>
      </c>
      <c r="AK111" s="7">
        <v>2.7924642058790341</v>
      </c>
      <c r="AL111" s="7">
        <v>3.611340276524956</v>
      </c>
      <c r="AM111" s="7">
        <v>9.8117467713981164</v>
      </c>
      <c r="AN111" s="7">
        <v>6.3864123688071324</v>
      </c>
      <c r="AO11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57.252516745033546</v>
      </c>
    </row>
    <row r="112" spans="1:41" x14ac:dyDescent="0.3">
      <c r="A112" s="2" t="s">
        <v>109</v>
      </c>
      <c r="B112">
        <f>'Rådata-K'!N111</f>
        <v>5</v>
      </c>
      <c r="C112" s="7">
        <f>'Rådata-K'!M111</f>
        <v>96.466666666699993</v>
      </c>
      <c r="D112" s="24">
        <f>'Rådata-K'!O111</f>
        <v>3.2665596426327914</v>
      </c>
      <c r="E112" s="24">
        <f>'Rådata-K'!P111</f>
        <v>3.1249304458145071</v>
      </c>
      <c r="F112" s="24">
        <f>'Rådata-K'!Q111</f>
        <v>-7.0721357850070943E-3</v>
      </c>
      <c r="G112" s="24">
        <f>'Rådata-K'!R111</f>
        <v>9.3304843304843302E-2</v>
      </c>
      <c r="H112" s="24">
        <f>'Rådata-K'!S111</f>
        <v>0.21225071225071226</v>
      </c>
      <c r="I112" s="24">
        <f>'Rådata-K'!T111</f>
        <v>0.15198618307426592</v>
      </c>
      <c r="J112" s="24">
        <f>'Rådata-K'!U111</f>
        <v>0.93907284768211918</v>
      </c>
      <c r="K112" s="24">
        <f>'Rådata-K'!L111</f>
        <v>372500</v>
      </c>
      <c r="L112" s="24">
        <f>Tabell2[[#This Row],[NIBR11]]</f>
        <v>5</v>
      </c>
      <c r="M112" s="24">
        <f>IF(Tabell2[[#This Row],[ReisetidOslo]]&lt;=C$434,C$434,IF(Tabell2[[#This Row],[ReisetidOslo]]&gt;=C$435,C$435,Tabell2[[#This Row],[ReisetidOslo]]))</f>
        <v>96.466666666699993</v>
      </c>
      <c r="N112" s="24">
        <f>IF(Tabell2[[#This Row],[Beftettland]]&lt;=D$434,D$434,IF(Tabell2[[#This Row],[Beftettland]]&gt;=D$435,D$435,Tabell2[[#This Row],[Beftettland]]))</f>
        <v>3.2665596426327914</v>
      </c>
      <c r="O112" s="24">
        <f>IF(Tabell2[[#This Row],[Beftettotal]]&lt;=E$434,E$434,IF(Tabell2[[#This Row],[Beftettotal]]&gt;=E$435,E$435,Tabell2[[#This Row],[Beftettotal]]))</f>
        <v>3.1249304458145071</v>
      </c>
      <c r="P112" s="24">
        <f>IF(Tabell2[[#This Row],[Befvekst10]]&lt;=F$434,F$434,IF(Tabell2[[#This Row],[Befvekst10]]&gt;=F$435,F$435,Tabell2[[#This Row],[Befvekst10]]))</f>
        <v>-7.0721357850070943E-3</v>
      </c>
      <c r="Q112" s="24">
        <f>IF(Tabell2[[#This Row],[Kvinneandel]]&lt;=G$434,G$434,IF(Tabell2[[#This Row],[Kvinneandel]]&gt;=G$435,G$435,Tabell2[[#This Row],[Kvinneandel]]))</f>
        <v>9.3304843304843302E-2</v>
      </c>
      <c r="R112" s="24">
        <f>IF(Tabell2[[#This Row],[Eldreandel]]&lt;=H$434,H$434,IF(Tabell2[[#This Row],[Eldreandel]]&gt;=H$435,H$435,Tabell2[[#This Row],[Eldreandel]]))</f>
        <v>0.21225071225071226</v>
      </c>
      <c r="S112" s="24">
        <f>IF(Tabell2[[#This Row],[Sysselsettingsvekst10]]&lt;=I$434,I$434,IF(Tabell2[[#This Row],[Sysselsettingsvekst10]]&gt;=I$435,I$435,Tabell2[[#This Row],[Sysselsettingsvekst10]]))</f>
        <v>0.15198618307426592</v>
      </c>
      <c r="T112" s="24">
        <f>IF(Tabell2[[#This Row],[Yrkesaktivandel]]&lt;=J$434,J$434,IF(Tabell2[[#This Row],[Yrkesaktivandel]]&gt;=J$435,J$435,Tabell2[[#This Row],[Yrkesaktivandel]]))</f>
        <v>0.93907284768211918</v>
      </c>
      <c r="U112" s="24">
        <f>IF(Tabell2[[#This Row],[Inntekt]]&lt;=K$434,K$434,IF(Tabell2[[#This Row],[Inntekt]]&gt;=K$435,K$435,Tabell2[[#This Row],[Inntekt]]))</f>
        <v>372500</v>
      </c>
      <c r="V112" s="7">
        <f>IF(Tabell2[[#This Row],[NIBR11-T]]&lt;=L$437,100,IF(Tabell2[[#This Row],[NIBR11-T]]&gt;=L$436,0,100*(L$436-Tabell2[[#This Row],[NIBR11-T]])/L$439))</f>
        <v>60</v>
      </c>
      <c r="W112" s="7">
        <f>(M$436-Tabell2[[#This Row],[ReisetidOslo-T]])*100/M$439</f>
        <v>80.726873857391354</v>
      </c>
      <c r="X112" s="7">
        <f>100-(N$436-Tabell2[[#This Row],[Beftettland-T]])*100/N$439</f>
        <v>1.3788205511271059</v>
      </c>
      <c r="Y112" s="7">
        <f>100-(O$436-Tabell2[[#This Row],[Beftettotal-T]])*100/O$439</f>
        <v>1.3830458138583026</v>
      </c>
      <c r="Z112" s="7">
        <f>100-(P$436-Tabell2[[#This Row],[Befvekst10-T]])*100/P$439</f>
        <v>25.900953921048213</v>
      </c>
      <c r="AA112" s="7">
        <f>100-(Q$436-Tabell2[[#This Row],[Kvinneandel-T]])*100/Q$439</f>
        <v>9.9382059601345389</v>
      </c>
      <c r="AB112" s="7">
        <f>(R$436-Tabell2[[#This Row],[Eldreandel-T]])*100/R$439</f>
        <v>8.7184884933872695</v>
      </c>
      <c r="AC112" s="7">
        <f>100-(S$436-Tabell2[[#This Row],[Sysselsettingsvekst10-T]])*100/S$439</f>
        <v>79.811296215670524</v>
      </c>
      <c r="AD112" s="7">
        <f>100-(T$436-Tabell2[[#This Row],[Yrkesaktivandel-T]])*100/T$439</f>
        <v>98.874140556591854</v>
      </c>
      <c r="AE112" s="7">
        <f>100-(U$436-Tabell2[[#This Row],[Inntekt-T]])*100/U$439</f>
        <v>31.700710980701956</v>
      </c>
      <c r="AF112" s="7">
        <v>12</v>
      </c>
      <c r="AG112" s="7">
        <v>8.072687385739135</v>
      </c>
      <c r="AH112" s="7">
        <v>0.13830458138583027</v>
      </c>
      <c r="AI112" s="7">
        <v>5.1801907842096426</v>
      </c>
      <c r="AJ112" s="7">
        <v>0.49691029800672698</v>
      </c>
      <c r="AK112" s="7">
        <v>0.43592442466936349</v>
      </c>
      <c r="AL112" s="7">
        <v>7.9811296215670531</v>
      </c>
      <c r="AM112" s="7">
        <v>9.8874140556591854</v>
      </c>
      <c r="AN112" s="7">
        <v>3.1700710980701956</v>
      </c>
      <c r="AO11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47.362632249307133</v>
      </c>
    </row>
    <row r="113" spans="1:41" x14ac:dyDescent="0.3">
      <c r="A113" s="2" t="s">
        <v>110</v>
      </c>
      <c r="B113">
        <f>'Rådata-K'!N112</f>
        <v>11</v>
      </c>
      <c r="C113" s="7">
        <f>'Rådata-K'!M112</f>
        <v>130.76666666700001</v>
      </c>
      <c r="D113" s="24">
        <f>'Rådata-K'!O112</f>
        <v>1.1245079174537045</v>
      </c>
      <c r="E113" s="24">
        <f>'Rådata-K'!P112</f>
        <v>1.0182672671832602</v>
      </c>
      <c r="F113" s="24">
        <f>'Rådata-K'!Q112</f>
        <v>-1.8867924528301883E-2</v>
      </c>
      <c r="G113" s="24">
        <f>'Rådata-K'!R112</f>
        <v>8.7127158555729986E-2</v>
      </c>
      <c r="H113" s="24">
        <f>'Rådata-K'!S112</f>
        <v>0.19662480376766092</v>
      </c>
      <c r="I113" s="24">
        <f>'Rådata-K'!T112</f>
        <v>1.3492063492063444E-2</v>
      </c>
      <c r="J113" s="24">
        <f>'Rådata-K'!U112</f>
        <v>0.99010600706713781</v>
      </c>
      <c r="K113" s="24">
        <f>'Rådata-K'!L112</f>
        <v>357400</v>
      </c>
      <c r="L113" s="24">
        <f>Tabell2[[#This Row],[NIBR11]]</f>
        <v>11</v>
      </c>
      <c r="M113" s="24">
        <f>IF(Tabell2[[#This Row],[ReisetidOslo]]&lt;=C$434,C$434,IF(Tabell2[[#This Row],[ReisetidOslo]]&gt;=C$435,C$435,Tabell2[[#This Row],[ReisetidOslo]]))</f>
        <v>130.76666666700001</v>
      </c>
      <c r="N113" s="24">
        <f>IF(Tabell2[[#This Row],[Beftettland]]&lt;=D$434,D$434,IF(Tabell2[[#This Row],[Beftettland]]&gt;=D$435,D$435,Tabell2[[#This Row],[Beftettland]]))</f>
        <v>1.4025423756281519</v>
      </c>
      <c r="O113" s="24">
        <f>IF(Tabell2[[#This Row],[Beftettotal]]&lt;=E$434,E$434,IF(Tabell2[[#This Row],[Beftettotal]]&gt;=E$435,E$435,Tabell2[[#This Row],[Beftettotal]]))</f>
        <v>1.3180632767674032</v>
      </c>
      <c r="P113" s="24">
        <f>IF(Tabell2[[#This Row],[Befvekst10]]&lt;=F$434,F$434,IF(Tabell2[[#This Row],[Befvekst10]]&gt;=F$435,F$435,Tabell2[[#This Row],[Befvekst10]]))</f>
        <v>-1.8867924528301883E-2</v>
      </c>
      <c r="Q113" s="24">
        <f>IF(Tabell2[[#This Row],[Kvinneandel]]&lt;=G$434,G$434,IF(Tabell2[[#This Row],[Kvinneandel]]&gt;=G$435,G$435,Tabell2[[#This Row],[Kvinneandel]]))</f>
        <v>8.9521819157910881E-2</v>
      </c>
      <c r="R113" s="24">
        <f>IF(Tabell2[[#This Row],[Eldreandel]]&lt;=H$434,H$434,IF(Tabell2[[#This Row],[Eldreandel]]&gt;=H$435,H$435,Tabell2[[#This Row],[Eldreandel]]))</f>
        <v>0.19662480376766092</v>
      </c>
      <c r="S113" s="24">
        <f>IF(Tabell2[[#This Row],[Sysselsettingsvekst10]]&lt;=I$434,I$434,IF(Tabell2[[#This Row],[Sysselsettingsvekst10]]&gt;=I$435,I$435,Tabell2[[#This Row],[Sysselsettingsvekst10]]))</f>
        <v>1.3492063492063444E-2</v>
      </c>
      <c r="T113" s="24">
        <f>IF(Tabell2[[#This Row],[Yrkesaktivandel]]&lt;=J$434,J$434,IF(Tabell2[[#This Row],[Yrkesaktivandel]]&gt;=J$435,J$435,Tabell2[[#This Row],[Yrkesaktivandel]]))</f>
        <v>0.94066914614326791</v>
      </c>
      <c r="U113" s="24">
        <f>IF(Tabell2[[#This Row],[Inntekt]]&lt;=K$434,K$434,IF(Tabell2[[#This Row],[Inntekt]]&gt;=K$435,K$435,Tabell2[[#This Row],[Inntekt]]))</f>
        <v>357400</v>
      </c>
      <c r="V113" s="7">
        <f>IF(Tabell2[[#This Row],[NIBR11-T]]&lt;=L$437,100,IF(Tabell2[[#This Row],[NIBR11-T]]&gt;=L$436,0,100*(L$436-Tabell2[[#This Row],[NIBR11-T]])/L$439))</f>
        <v>0</v>
      </c>
      <c r="W113" s="7">
        <f>(M$436-Tabell2[[#This Row],[ReisetidOslo-T]])*100/M$439</f>
        <v>65.677513711008999</v>
      </c>
      <c r="X113" s="7">
        <f>100-(N$436-Tabell2[[#This Row],[Beftettland-T]])*100/N$439</f>
        <v>0</v>
      </c>
      <c r="Y113" s="7">
        <f>100-(O$436-Tabell2[[#This Row],[Beftettotal-T]])*100/O$439</f>
        <v>0</v>
      </c>
      <c r="Z113" s="7">
        <f>100-(P$436-Tabell2[[#This Row],[Befvekst10-T]])*100/P$439</f>
        <v>21.126478063330708</v>
      </c>
      <c r="AA113" s="7">
        <f>100-(Q$436-Tabell2[[#This Row],[Kvinneandel-T]])*100/Q$439</f>
        <v>0</v>
      </c>
      <c r="AB113" s="7">
        <f>(R$436-Tabell2[[#This Row],[Eldreandel-T]])*100/R$439</f>
        <v>25.58282575701535</v>
      </c>
      <c r="AC113" s="7">
        <f>100-(S$436-Tabell2[[#This Row],[Sysselsettingsvekst10-T]])*100/S$439</f>
        <v>34.613560131265146</v>
      </c>
      <c r="AD113" s="7">
        <f>100-(T$436-Tabell2[[#This Row],[Yrkesaktivandel-T]])*100/T$439</f>
        <v>100</v>
      </c>
      <c r="AE113" s="7">
        <f>100-(U$436-Tabell2[[#This Row],[Inntekt-T]])*100/U$439</f>
        <v>14.659744949779935</v>
      </c>
      <c r="AF113" s="7">
        <v>0</v>
      </c>
      <c r="AG113" s="7">
        <v>6.5677513711009006</v>
      </c>
      <c r="AH113" s="7">
        <v>0</v>
      </c>
      <c r="AI113" s="7">
        <v>4.2252956126661418</v>
      </c>
      <c r="AJ113" s="7">
        <v>0</v>
      </c>
      <c r="AK113" s="7">
        <v>1.2791412878507675</v>
      </c>
      <c r="AL113" s="7">
        <v>3.4613560131265149</v>
      </c>
      <c r="AM113" s="7">
        <v>10</v>
      </c>
      <c r="AN113" s="7">
        <v>1.4659744949779936</v>
      </c>
      <c r="AO11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26.999518779722315</v>
      </c>
    </row>
    <row r="114" spans="1:41" x14ac:dyDescent="0.3">
      <c r="A114" s="2" t="s">
        <v>111</v>
      </c>
      <c r="B114">
        <f>'Rådata-K'!N113</f>
        <v>2</v>
      </c>
      <c r="C114" s="7">
        <f>'Rådata-K'!M113</f>
        <v>63.3</v>
      </c>
      <c r="D114" s="24">
        <f>'Rådata-K'!O113</f>
        <v>396.70121150197048</v>
      </c>
      <c r="E114" s="24">
        <f>'Rådata-K'!P113</f>
        <v>386.21571692482587</v>
      </c>
      <c r="F114" s="24">
        <f>'Rådata-K'!Q113</f>
        <v>9.2758634554300112E-2</v>
      </c>
      <c r="G114" s="24">
        <f>'Rådata-K'!R113</f>
        <v>0.11365810582088454</v>
      </c>
      <c r="H114" s="24">
        <f>'Rådata-K'!S113</f>
        <v>0.16322025167414822</v>
      </c>
      <c r="I114" s="24">
        <f>'Rådata-K'!T113</f>
        <v>0.11109988890011113</v>
      </c>
      <c r="J114" s="24">
        <f>'Rådata-K'!U113</f>
        <v>0.77774952320406865</v>
      </c>
      <c r="K114" s="24">
        <f>'Rådata-K'!L113</f>
        <v>381200</v>
      </c>
      <c r="L114" s="24">
        <f>Tabell2[[#This Row],[NIBR11]]</f>
        <v>2</v>
      </c>
      <c r="M114" s="24">
        <f>IF(Tabell2[[#This Row],[ReisetidOslo]]&lt;=C$434,C$434,IF(Tabell2[[#This Row],[ReisetidOslo]]&gt;=C$435,C$435,Tabell2[[#This Row],[ReisetidOslo]]))</f>
        <v>63.3</v>
      </c>
      <c r="N114" s="24">
        <f>IF(Tabell2[[#This Row],[Beftettland]]&lt;=D$434,D$434,IF(Tabell2[[#This Row],[Beftettland]]&gt;=D$435,D$435,Tabell2[[#This Row],[Beftettland]]))</f>
        <v>136.59179999736304</v>
      </c>
      <c r="O114" s="24">
        <f>IF(Tabell2[[#This Row],[Beftettotal]]&lt;=E$434,E$434,IF(Tabell2[[#This Row],[Beftettotal]]&gt;=E$435,E$435,Tabell2[[#This Row],[Beftettotal]]))</f>
        <v>131.96212083018065</v>
      </c>
      <c r="P114" s="24">
        <f>IF(Tabell2[[#This Row],[Befvekst10]]&lt;=F$434,F$434,IF(Tabell2[[#This Row],[Befvekst10]]&gt;=F$435,F$435,Tabell2[[#This Row],[Befvekst10]]))</f>
        <v>9.2758634554300112E-2</v>
      </c>
      <c r="Q114" s="24">
        <f>IF(Tabell2[[#This Row],[Kvinneandel]]&lt;=G$434,G$434,IF(Tabell2[[#This Row],[Kvinneandel]]&gt;=G$435,G$435,Tabell2[[#This Row],[Kvinneandel]]))</f>
        <v>0.11365810582088454</v>
      </c>
      <c r="R114" s="24">
        <f>IF(Tabell2[[#This Row],[Eldreandel]]&lt;=H$434,H$434,IF(Tabell2[[#This Row],[Eldreandel]]&gt;=H$435,H$435,Tabell2[[#This Row],[Eldreandel]]))</f>
        <v>0.16322025167414822</v>
      </c>
      <c r="S114" s="24">
        <f>IF(Tabell2[[#This Row],[Sysselsettingsvekst10]]&lt;=I$434,I$434,IF(Tabell2[[#This Row],[Sysselsettingsvekst10]]&gt;=I$435,I$435,Tabell2[[#This Row],[Sysselsettingsvekst10]]))</f>
        <v>0.11109988890011113</v>
      </c>
      <c r="T114" s="24">
        <f>IF(Tabell2[[#This Row],[Yrkesaktivandel]]&lt;=J$434,J$434,IF(Tabell2[[#This Row],[Yrkesaktivandel]]&gt;=J$435,J$435,Tabell2[[#This Row],[Yrkesaktivandel]]))</f>
        <v>0.79888426611272945</v>
      </c>
      <c r="U114" s="24">
        <f>IF(Tabell2[[#This Row],[Inntekt]]&lt;=K$434,K$434,IF(Tabell2[[#This Row],[Inntekt]]&gt;=K$435,K$435,Tabell2[[#This Row],[Inntekt]]))</f>
        <v>381200</v>
      </c>
      <c r="V114" s="7">
        <f>IF(Tabell2[[#This Row],[NIBR11-T]]&lt;=L$437,100,IF(Tabell2[[#This Row],[NIBR11-T]]&gt;=L$436,0,100*(L$436-Tabell2[[#This Row],[NIBR11-T]])/L$439))</f>
        <v>90</v>
      </c>
      <c r="W114" s="7">
        <f>(M$436-Tabell2[[#This Row],[ReisetidOslo-T]])*100/M$439</f>
        <v>95.278976234004134</v>
      </c>
      <c r="X114" s="7">
        <f>100-(N$436-Tabell2[[#This Row],[Beftettland-T]])*100/N$439</f>
        <v>100</v>
      </c>
      <c r="Y114" s="7">
        <f>100-(O$436-Tabell2[[#This Row],[Beftettotal-T]])*100/O$439</f>
        <v>100</v>
      </c>
      <c r="Z114" s="7">
        <f>100-(P$436-Tabell2[[#This Row],[Befvekst10-T]])*100/P$439</f>
        <v>66.308561518573512</v>
      </c>
      <c r="AA114" s="7">
        <f>100-(Q$436-Tabell2[[#This Row],[Kvinneandel-T]])*100/Q$439</f>
        <v>63.407310831993414</v>
      </c>
      <c r="AB114" s="7">
        <f>(R$436-Tabell2[[#This Row],[Eldreandel-T]])*100/R$439</f>
        <v>61.634850076527073</v>
      </c>
      <c r="AC114" s="7">
        <f>100-(S$436-Tabell2[[#This Row],[Sysselsettingsvekst10-T]])*100/S$439</f>
        <v>66.468000925389561</v>
      </c>
      <c r="AD114" s="7">
        <f>100-(T$436-Tabell2[[#This Row],[Yrkesaktivandel-T]])*100/T$439</f>
        <v>0</v>
      </c>
      <c r="AE114" s="7">
        <f>100-(U$436-Tabell2[[#This Row],[Inntekt-T]])*100/U$439</f>
        <v>41.519015912425232</v>
      </c>
      <c r="AF114" s="7">
        <v>18</v>
      </c>
      <c r="AG114" s="7">
        <v>9.5278976234004134</v>
      </c>
      <c r="AH114" s="7">
        <v>10</v>
      </c>
      <c r="AI114" s="7">
        <v>13.261712303714702</v>
      </c>
      <c r="AJ114" s="7">
        <v>3.1703655415996708</v>
      </c>
      <c r="AK114" s="7">
        <v>3.0817425038263537</v>
      </c>
      <c r="AL114" s="7">
        <v>6.6468000925389568</v>
      </c>
      <c r="AM114" s="7">
        <v>0</v>
      </c>
      <c r="AN114" s="7">
        <v>4.151901591242523</v>
      </c>
      <c r="AO11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67.840419656322624</v>
      </c>
    </row>
    <row r="115" spans="1:41" x14ac:dyDescent="0.3">
      <c r="A115" s="2" t="s">
        <v>112</v>
      </c>
      <c r="B115">
        <f>'Rådata-K'!N114</f>
        <v>2</v>
      </c>
      <c r="C115" s="7">
        <f>'Rådata-K'!M114</f>
        <v>52.75</v>
      </c>
      <c r="D115" s="24">
        <f>'Rådata-K'!O114</f>
        <v>127.53502730942769</v>
      </c>
      <c r="E115" s="24">
        <f>'Rådata-K'!P114</f>
        <v>124.80827329769927</v>
      </c>
      <c r="F115" s="24">
        <f>'Rådata-K'!Q114</f>
        <v>0.11259581520613215</v>
      </c>
      <c r="G115" s="24">
        <f>'Rådata-K'!R114</f>
        <v>0.11777301927194861</v>
      </c>
      <c r="H115" s="24">
        <f>'Rådata-K'!S114</f>
        <v>0.16637184619681594</v>
      </c>
      <c r="I115" s="24">
        <f>'Rådata-K'!T114</f>
        <v>4.4259307472012122E-3</v>
      </c>
      <c r="J115" s="24">
        <f>'Rådata-K'!U114</f>
        <v>0.81034205877629673</v>
      </c>
      <c r="K115" s="24">
        <f>'Rådata-K'!L114</f>
        <v>397200</v>
      </c>
      <c r="L115" s="24">
        <f>Tabell2[[#This Row],[NIBR11]]</f>
        <v>2</v>
      </c>
      <c r="M115" s="24">
        <f>IF(Tabell2[[#This Row],[ReisetidOslo]]&lt;=C$434,C$434,IF(Tabell2[[#This Row],[ReisetidOslo]]&gt;=C$435,C$435,Tabell2[[#This Row],[ReisetidOslo]]))</f>
        <v>52.75</v>
      </c>
      <c r="N115" s="24">
        <f>IF(Tabell2[[#This Row],[Beftettland]]&lt;=D$434,D$434,IF(Tabell2[[#This Row],[Beftettland]]&gt;=D$435,D$435,Tabell2[[#This Row],[Beftettland]]))</f>
        <v>127.53502730942769</v>
      </c>
      <c r="O115" s="24">
        <f>IF(Tabell2[[#This Row],[Beftettotal]]&lt;=E$434,E$434,IF(Tabell2[[#This Row],[Beftettotal]]&gt;=E$435,E$435,Tabell2[[#This Row],[Beftettotal]]))</f>
        <v>124.80827329769927</v>
      </c>
      <c r="P115" s="24">
        <f>IF(Tabell2[[#This Row],[Befvekst10]]&lt;=F$434,F$434,IF(Tabell2[[#This Row],[Befvekst10]]&gt;=F$435,F$435,Tabell2[[#This Row],[Befvekst10]]))</f>
        <v>0.11259581520613215</v>
      </c>
      <c r="Q115" s="24">
        <f>IF(Tabell2[[#This Row],[Kvinneandel]]&lt;=G$434,G$434,IF(Tabell2[[#This Row],[Kvinneandel]]&gt;=G$435,G$435,Tabell2[[#This Row],[Kvinneandel]]))</f>
        <v>0.11777301927194861</v>
      </c>
      <c r="R115" s="24">
        <f>IF(Tabell2[[#This Row],[Eldreandel]]&lt;=H$434,H$434,IF(Tabell2[[#This Row],[Eldreandel]]&gt;=H$435,H$435,Tabell2[[#This Row],[Eldreandel]]))</f>
        <v>0.16637184619681594</v>
      </c>
      <c r="S115" s="24">
        <f>IF(Tabell2[[#This Row],[Sysselsettingsvekst10]]&lt;=I$434,I$434,IF(Tabell2[[#This Row],[Sysselsettingsvekst10]]&gt;=I$435,I$435,Tabell2[[#This Row],[Sysselsettingsvekst10]]))</f>
        <v>4.4259307472012122E-3</v>
      </c>
      <c r="T115" s="24">
        <f>IF(Tabell2[[#This Row],[Yrkesaktivandel]]&lt;=J$434,J$434,IF(Tabell2[[#This Row],[Yrkesaktivandel]]&gt;=J$435,J$435,Tabell2[[#This Row],[Yrkesaktivandel]]))</f>
        <v>0.81034205877629673</v>
      </c>
      <c r="U115" s="24">
        <f>IF(Tabell2[[#This Row],[Inntekt]]&lt;=K$434,K$434,IF(Tabell2[[#This Row],[Inntekt]]&gt;=K$435,K$435,Tabell2[[#This Row],[Inntekt]]))</f>
        <v>397200</v>
      </c>
      <c r="V115" s="7">
        <f>IF(Tabell2[[#This Row],[NIBR11-T]]&lt;=L$437,100,IF(Tabell2[[#This Row],[NIBR11-T]]&gt;=L$436,0,100*(L$436-Tabell2[[#This Row],[NIBR11-T]])/L$439))</f>
        <v>90</v>
      </c>
      <c r="W115" s="7">
        <f>(M$436-Tabell2[[#This Row],[ReisetidOslo-T]])*100/M$439</f>
        <v>99.907861060329068</v>
      </c>
      <c r="X115" s="7">
        <f>100-(N$436-Tabell2[[#This Row],[Beftettland-T]])*100/N$439</f>
        <v>93.300671334939523</v>
      </c>
      <c r="Y115" s="7">
        <f>100-(O$436-Tabell2[[#This Row],[Beftettotal-T]])*100/O$439</f>
        <v>94.524169207193708</v>
      </c>
      <c r="Z115" s="7">
        <f>100-(P$436-Tabell2[[#This Row],[Befvekst10-T]])*100/P$439</f>
        <v>74.337879622561346</v>
      </c>
      <c r="AA115" s="7">
        <f>100-(Q$436-Tabell2[[#This Row],[Kvinneandel-T]])*100/Q$439</f>
        <v>74.217407674215153</v>
      </c>
      <c r="AB115" s="7">
        <f>(R$436-Tabell2[[#This Row],[Eldreandel-T]])*100/R$439</f>
        <v>58.233476453603316</v>
      </c>
      <c r="AC115" s="7">
        <f>100-(S$436-Tabell2[[#This Row],[Sysselsettingsvekst10-T]])*100/S$439</f>
        <v>31.654815916387093</v>
      </c>
      <c r="AD115" s="7">
        <f>100-(T$436-Tabell2[[#This Row],[Yrkesaktivandel-T]])*100/T$439</f>
        <v>8.0811103843367675</v>
      </c>
      <c r="AE115" s="7">
        <f>100-(U$436-Tabell2[[#This Row],[Inntekt-T]])*100/U$439</f>
        <v>59.575668660422075</v>
      </c>
      <c r="AF115" s="7">
        <v>18</v>
      </c>
      <c r="AG115" s="7">
        <v>9.9907861060329068</v>
      </c>
      <c r="AH115" s="7">
        <v>9.4524169207193705</v>
      </c>
      <c r="AI115" s="7">
        <v>14.86757592451227</v>
      </c>
      <c r="AJ115" s="7">
        <v>3.7108703837107577</v>
      </c>
      <c r="AK115" s="7">
        <v>2.9116738226801662</v>
      </c>
      <c r="AL115" s="7">
        <v>3.1654815916387093</v>
      </c>
      <c r="AM115" s="7">
        <v>0.80811103843367682</v>
      </c>
      <c r="AN115" s="7">
        <v>5.9575668660422076</v>
      </c>
      <c r="AO11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68.864482653770068</v>
      </c>
    </row>
    <row r="116" spans="1:41" x14ac:dyDescent="0.3">
      <c r="A116" s="2" t="s">
        <v>113</v>
      </c>
      <c r="B116">
        <f>'Rådata-K'!N115</f>
        <v>2</v>
      </c>
      <c r="C116" s="7">
        <f>'Rådata-K'!M115</f>
        <v>66.3</v>
      </c>
      <c r="D116" s="24">
        <f>'Rådata-K'!O115</f>
        <v>398.19157954224357</v>
      </c>
      <c r="E116" s="24">
        <f>'Rådata-K'!P115</f>
        <v>396.28796400449943</v>
      </c>
      <c r="F116" s="24">
        <f>'Rådata-K'!Q115</f>
        <v>0.1451014382838105</v>
      </c>
      <c r="G116" s="24">
        <f>'Rådata-K'!R115</f>
        <v>0.12919859967830447</v>
      </c>
      <c r="H116" s="24">
        <f>'Rådata-K'!S115</f>
        <v>0.15524174472513955</v>
      </c>
      <c r="I116" s="24">
        <f>'Rådata-K'!T115</f>
        <v>7.4183976261127604E-2</v>
      </c>
      <c r="J116" s="24">
        <f>'Rådata-K'!U115</f>
        <v>0.82228783465666522</v>
      </c>
      <c r="K116" s="24">
        <f>'Rådata-K'!L115</f>
        <v>412600</v>
      </c>
      <c r="L116" s="24">
        <f>Tabell2[[#This Row],[NIBR11]]</f>
        <v>2</v>
      </c>
      <c r="M116" s="24">
        <f>IF(Tabell2[[#This Row],[ReisetidOslo]]&lt;=C$434,C$434,IF(Tabell2[[#This Row],[ReisetidOslo]]&gt;=C$435,C$435,Tabell2[[#This Row],[ReisetidOslo]]))</f>
        <v>66.3</v>
      </c>
      <c r="N116" s="24">
        <f>IF(Tabell2[[#This Row],[Beftettland]]&lt;=D$434,D$434,IF(Tabell2[[#This Row],[Beftettland]]&gt;=D$435,D$435,Tabell2[[#This Row],[Beftettland]]))</f>
        <v>136.59179999736304</v>
      </c>
      <c r="O116" s="24">
        <f>IF(Tabell2[[#This Row],[Beftettotal]]&lt;=E$434,E$434,IF(Tabell2[[#This Row],[Beftettotal]]&gt;=E$435,E$435,Tabell2[[#This Row],[Beftettotal]]))</f>
        <v>131.96212083018065</v>
      </c>
      <c r="P116" s="24">
        <f>IF(Tabell2[[#This Row],[Befvekst10]]&lt;=F$434,F$434,IF(Tabell2[[#This Row],[Befvekst10]]&gt;=F$435,F$435,Tabell2[[#This Row],[Befvekst10]]))</f>
        <v>0.1451014382838105</v>
      </c>
      <c r="Q116" s="24">
        <f>IF(Tabell2[[#This Row],[Kvinneandel]]&lt;=G$434,G$434,IF(Tabell2[[#This Row],[Kvinneandel]]&gt;=G$435,G$435,Tabell2[[#This Row],[Kvinneandel]]))</f>
        <v>0.12758728250318055</v>
      </c>
      <c r="R116" s="24">
        <f>IF(Tabell2[[#This Row],[Eldreandel]]&lt;=H$434,H$434,IF(Tabell2[[#This Row],[Eldreandel]]&gt;=H$435,H$435,Tabell2[[#This Row],[Eldreandel]]))</f>
        <v>0.15524174472513955</v>
      </c>
      <c r="S116" s="24">
        <f>IF(Tabell2[[#This Row],[Sysselsettingsvekst10]]&lt;=I$434,I$434,IF(Tabell2[[#This Row],[Sysselsettingsvekst10]]&gt;=I$435,I$435,Tabell2[[#This Row],[Sysselsettingsvekst10]]))</f>
        <v>7.4183976261127604E-2</v>
      </c>
      <c r="T116" s="24">
        <f>IF(Tabell2[[#This Row],[Yrkesaktivandel]]&lt;=J$434,J$434,IF(Tabell2[[#This Row],[Yrkesaktivandel]]&gt;=J$435,J$435,Tabell2[[#This Row],[Yrkesaktivandel]]))</f>
        <v>0.82228783465666522</v>
      </c>
      <c r="U116" s="24">
        <f>IF(Tabell2[[#This Row],[Inntekt]]&lt;=K$434,K$434,IF(Tabell2[[#This Row],[Inntekt]]&gt;=K$435,K$435,Tabell2[[#This Row],[Inntekt]]))</f>
        <v>412600</v>
      </c>
      <c r="V116" s="7">
        <f>IF(Tabell2[[#This Row],[NIBR11-T]]&lt;=L$437,100,IF(Tabell2[[#This Row],[NIBR11-T]]&gt;=L$436,0,100*(L$436-Tabell2[[#This Row],[NIBR11-T]])/L$439))</f>
        <v>90</v>
      </c>
      <c r="W116" s="7">
        <f>(M$436-Tabell2[[#This Row],[ReisetidOslo-T]])*100/M$439</f>
        <v>93.962705667276666</v>
      </c>
      <c r="X116" s="7">
        <f>100-(N$436-Tabell2[[#This Row],[Beftettland-T]])*100/N$439</f>
        <v>100</v>
      </c>
      <c r="Y116" s="7">
        <f>100-(O$436-Tabell2[[#This Row],[Beftettotal-T]])*100/O$439</f>
        <v>100</v>
      </c>
      <c r="Z116" s="7">
        <f>100-(P$436-Tabell2[[#This Row],[Befvekst10-T]])*100/P$439</f>
        <v>87.494889806612022</v>
      </c>
      <c r="AA116" s="7">
        <f>100-(Q$436-Tabell2[[#This Row],[Kvinneandel-T]])*100/Q$439</f>
        <v>100</v>
      </c>
      <c r="AB116" s="7">
        <f>(R$436-Tabell2[[#This Row],[Eldreandel-T]])*100/R$439</f>
        <v>70.245692268149057</v>
      </c>
      <c r="AC116" s="7">
        <f>100-(S$436-Tabell2[[#This Row],[Sysselsettingsvekst10-T]])*100/S$439</f>
        <v>54.420444813944684</v>
      </c>
      <c r="AD116" s="7">
        <f>100-(T$436-Tabell2[[#This Row],[Yrkesaktivandel-T]])*100/T$439</f>
        <v>16.506392316934622</v>
      </c>
      <c r="AE116" s="7">
        <f>100-(U$436-Tabell2[[#This Row],[Inntekt-T]])*100/U$439</f>
        <v>76.955196930369027</v>
      </c>
      <c r="AF116" s="7">
        <v>18</v>
      </c>
      <c r="AG116" s="7">
        <v>9.3962705667276669</v>
      </c>
      <c r="AH116" s="7">
        <v>10</v>
      </c>
      <c r="AI116" s="7">
        <v>17.498977961322407</v>
      </c>
      <c r="AJ116" s="7">
        <v>5</v>
      </c>
      <c r="AK116" s="7">
        <v>3.512284613407453</v>
      </c>
      <c r="AL116" s="7">
        <v>5.4420444813944684</v>
      </c>
      <c r="AM116" s="7">
        <v>1.6506392316934624</v>
      </c>
      <c r="AN116" s="7">
        <v>7.6955196930369034</v>
      </c>
      <c r="AO11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78.195736547582356</v>
      </c>
    </row>
    <row r="117" spans="1:41" x14ac:dyDescent="0.3">
      <c r="A117" s="2" t="s">
        <v>114</v>
      </c>
      <c r="B117">
        <f>'Rådata-K'!N116</f>
        <v>4</v>
      </c>
      <c r="C117" s="7">
        <f>'Rådata-K'!M116</f>
        <v>75.566666666700002</v>
      </c>
      <c r="D117" s="24">
        <f>'Rådata-K'!O116</f>
        <v>385.85263157894735</v>
      </c>
      <c r="E117" s="24">
        <f>'Rådata-K'!P116</f>
        <v>378.02161537826913</v>
      </c>
      <c r="F117" s="24">
        <f>'Rådata-K'!Q116</f>
        <v>0.10263506196606897</v>
      </c>
      <c r="G117" s="24">
        <f>'Rådata-K'!R116</f>
        <v>0.11412047140986468</v>
      </c>
      <c r="H117" s="24">
        <f>'Rådata-K'!S116</f>
        <v>0.16302924487123527</v>
      </c>
      <c r="I117" s="24">
        <f>'Rådata-K'!T116</f>
        <v>7.2684334820257046E-2</v>
      </c>
      <c r="J117" s="24">
        <f>'Rådata-K'!U116</f>
        <v>0.79834359091254459</v>
      </c>
      <c r="K117" s="24">
        <f>'Rådata-K'!L116</f>
        <v>397300</v>
      </c>
      <c r="L117" s="24">
        <f>Tabell2[[#This Row],[NIBR11]]</f>
        <v>4</v>
      </c>
      <c r="M117" s="24">
        <f>IF(Tabell2[[#This Row],[ReisetidOslo]]&lt;=C$434,C$434,IF(Tabell2[[#This Row],[ReisetidOslo]]&gt;=C$435,C$435,Tabell2[[#This Row],[ReisetidOslo]]))</f>
        <v>75.566666666700002</v>
      </c>
      <c r="N117" s="24">
        <f>IF(Tabell2[[#This Row],[Beftettland]]&lt;=D$434,D$434,IF(Tabell2[[#This Row],[Beftettland]]&gt;=D$435,D$435,Tabell2[[#This Row],[Beftettland]]))</f>
        <v>136.59179999736304</v>
      </c>
      <c r="O117" s="24">
        <f>IF(Tabell2[[#This Row],[Beftettotal]]&lt;=E$434,E$434,IF(Tabell2[[#This Row],[Beftettotal]]&gt;=E$435,E$435,Tabell2[[#This Row],[Beftettotal]]))</f>
        <v>131.96212083018065</v>
      </c>
      <c r="P117" s="24">
        <f>IF(Tabell2[[#This Row],[Befvekst10]]&lt;=F$434,F$434,IF(Tabell2[[#This Row],[Befvekst10]]&gt;=F$435,F$435,Tabell2[[#This Row],[Befvekst10]]))</f>
        <v>0.10263506196606897</v>
      </c>
      <c r="Q117" s="24">
        <f>IF(Tabell2[[#This Row],[Kvinneandel]]&lt;=G$434,G$434,IF(Tabell2[[#This Row],[Kvinneandel]]&gt;=G$435,G$435,Tabell2[[#This Row],[Kvinneandel]]))</f>
        <v>0.11412047140986468</v>
      </c>
      <c r="R117" s="24">
        <f>IF(Tabell2[[#This Row],[Eldreandel]]&lt;=H$434,H$434,IF(Tabell2[[#This Row],[Eldreandel]]&gt;=H$435,H$435,Tabell2[[#This Row],[Eldreandel]]))</f>
        <v>0.16302924487123527</v>
      </c>
      <c r="S117" s="24">
        <f>IF(Tabell2[[#This Row],[Sysselsettingsvekst10]]&lt;=I$434,I$434,IF(Tabell2[[#This Row],[Sysselsettingsvekst10]]&gt;=I$435,I$435,Tabell2[[#This Row],[Sysselsettingsvekst10]]))</f>
        <v>7.2684334820257046E-2</v>
      </c>
      <c r="T117" s="24">
        <f>IF(Tabell2[[#This Row],[Yrkesaktivandel]]&lt;=J$434,J$434,IF(Tabell2[[#This Row],[Yrkesaktivandel]]&gt;=J$435,J$435,Tabell2[[#This Row],[Yrkesaktivandel]]))</f>
        <v>0.79888426611272945</v>
      </c>
      <c r="U117" s="24">
        <f>IF(Tabell2[[#This Row],[Inntekt]]&lt;=K$434,K$434,IF(Tabell2[[#This Row],[Inntekt]]&gt;=K$435,K$435,Tabell2[[#This Row],[Inntekt]]))</f>
        <v>397300</v>
      </c>
      <c r="V117" s="7">
        <f>IF(Tabell2[[#This Row],[NIBR11-T]]&lt;=L$437,100,IF(Tabell2[[#This Row],[NIBR11-T]]&gt;=L$436,0,100*(L$436-Tabell2[[#This Row],[NIBR11-T]])/L$439))</f>
        <v>70</v>
      </c>
      <c r="W117" s="7">
        <f>(M$436-Tabell2[[#This Row],[ReisetidOslo-T]])*100/M$439</f>
        <v>89.896892138926077</v>
      </c>
      <c r="X117" s="7">
        <f>100-(N$436-Tabell2[[#This Row],[Beftettland-T]])*100/N$439</f>
        <v>100</v>
      </c>
      <c r="Y117" s="7">
        <f>100-(O$436-Tabell2[[#This Row],[Beftettotal-T]])*100/O$439</f>
        <v>100</v>
      </c>
      <c r="Z117" s="7">
        <f>100-(P$436-Tabell2[[#This Row],[Befvekst10-T]])*100/P$439</f>
        <v>70.306154665093231</v>
      </c>
      <c r="AA117" s="7">
        <f>100-(Q$436-Tabell2[[#This Row],[Kvinneandel-T]])*100/Q$439</f>
        <v>64.621969865002683</v>
      </c>
      <c r="AB117" s="7">
        <f>(R$436-Tabell2[[#This Row],[Eldreandel-T]])*100/R$439</f>
        <v>61.840995091869075</v>
      </c>
      <c r="AC117" s="7">
        <f>100-(S$436-Tabell2[[#This Row],[Sysselsettingsvekst10-T]])*100/S$439</f>
        <v>53.931034878922318</v>
      </c>
      <c r="AD117" s="7">
        <f>100-(T$436-Tabell2[[#This Row],[Yrkesaktivandel-T]])*100/T$439</f>
        <v>0</v>
      </c>
      <c r="AE117" s="7">
        <f>100-(U$436-Tabell2[[#This Row],[Inntekt-T]])*100/U$439</f>
        <v>59.688522740097056</v>
      </c>
      <c r="AF117" s="7">
        <v>14</v>
      </c>
      <c r="AG117" s="7">
        <v>8.9896892138926088</v>
      </c>
      <c r="AH117" s="7">
        <v>10</v>
      </c>
      <c r="AI117" s="7">
        <v>14.061230933018647</v>
      </c>
      <c r="AJ117" s="7">
        <v>3.2310984932501343</v>
      </c>
      <c r="AK117" s="7">
        <v>3.0920497545934538</v>
      </c>
      <c r="AL117" s="7">
        <v>5.3931034878922324</v>
      </c>
      <c r="AM117" s="7">
        <v>0</v>
      </c>
      <c r="AN117" s="7">
        <v>5.9688522740097056</v>
      </c>
      <c r="AO11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64.736024156656782</v>
      </c>
    </row>
    <row r="118" spans="1:41" x14ac:dyDescent="0.3">
      <c r="A118" s="2" t="s">
        <v>115</v>
      </c>
      <c r="B118">
        <f>'Rådata-K'!N117</f>
        <v>4</v>
      </c>
      <c r="C118" s="7">
        <f>'Rådata-K'!M117</f>
        <v>83.2</v>
      </c>
      <c r="D118" s="24">
        <f>'Rådata-K'!O117</f>
        <v>87.590351823010266</v>
      </c>
      <c r="E118" s="24">
        <f>'Rådata-K'!P117</f>
        <v>81.997457848891543</v>
      </c>
      <c r="F118" s="24">
        <f>'Rådata-K'!Q117</f>
        <v>6.4448812210332163E-2</v>
      </c>
      <c r="G118" s="24">
        <f>'Rådata-K'!R117</f>
        <v>0.11049308135956414</v>
      </c>
      <c r="H118" s="24">
        <f>'Rådata-K'!S117</f>
        <v>0.16948959354412199</v>
      </c>
      <c r="I118" s="24">
        <f>'Rådata-K'!T117</f>
        <v>-2.1009580368648084E-2</v>
      </c>
      <c r="J118" s="24">
        <f>'Rådata-K'!U117</f>
        <v>0.80198528830182714</v>
      </c>
      <c r="K118" s="24">
        <f>'Rådata-K'!L117</f>
        <v>385200</v>
      </c>
      <c r="L118" s="24">
        <f>Tabell2[[#This Row],[NIBR11]]</f>
        <v>4</v>
      </c>
      <c r="M118" s="24">
        <f>IF(Tabell2[[#This Row],[ReisetidOslo]]&lt;=C$434,C$434,IF(Tabell2[[#This Row],[ReisetidOslo]]&gt;=C$435,C$435,Tabell2[[#This Row],[ReisetidOslo]]))</f>
        <v>83.2</v>
      </c>
      <c r="N118" s="24">
        <f>IF(Tabell2[[#This Row],[Beftettland]]&lt;=D$434,D$434,IF(Tabell2[[#This Row],[Beftettland]]&gt;=D$435,D$435,Tabell2[[#This Row],[Beftettland]]))</f>
        <v>87.590351823010266</v>
      </c>
      <c r="O118" s="24">
        <f>IF(Tabell2[[#This Row],[Beftettotal]]&lt;=E$434,E$434,IF(Tabell2[[#This Row],[Beftettotal]]&gt;=E$435,E$435,Tabell2[[#This Row],[Beftettotal]]))</f>
        <v>81.997457848891543</v>
      </c>
      <c r="P118" s="24">
        <f>IF(Tabell2[[#This Row],[Befvekst10]]&lt;=F$434,F$434,IF(Tabell2[[#This Row],[Befvekst10]]&gt;=F$435,F$435,Tabell2[[#This Row],[Befvekst10]]))</f>
        <v>6.4448812210332163E-2</v>
      </c>
      <c r="Q118" s="24">
        <f>IF(Tabell2[[#This Row],[Kvinneandel]]&lt;=G$434,G$434,IF(Tabell2[[#This Row],[Kvinneandel]]&gt;=G$435,G$435,Tabell2[[#This Row],[Kvinneandel]]))</f>
        <v>0.11049308135956414</v>
      </c>
      <c r="R118" s="24">
        <f>IF(Tabell2[[#This Row],[Eldreandel]]&lt;=H$434,H$434,IF(Tabell2[[#This Row],[Eldreandel]]&gt;=H$435,H$435,Tabell2[[#This Row],[Eldreandel]]))</f>
        <v>0.16948959354412199</v>
      </c>
      <c r="S118" s="24">
        <f>IF(Tabell2[[#This Row],[Sysselsettingsvekst10]]&lt;=I$434,I$434,IF(Tabell2[[#This Row],[Sysselsettingsvekst10]]&gt;=I$435,I$435,Tabell2[[#This Row],[Sysselsettingsvekst10]]))</f>
        <v>-2.1009580368648084E-2</v>
      </c>
      <c r="T118" s="24">
        <f>IF(Tabell2[[#This Row],[Yrkesaktivandel]]&lt;=J$434,J$434,IF(Tabell2[[#This Row],[Yrkesaktivandel]]&gt;=J$435,J$435,Tabell2[[#This Row],[Yrkesaktivandel]]))</f>
        <v>0.80198528830182714</v>
      </c>
      <c r="U118" s="24">
        <f>IF(Tabell2[[#This Row],[Inntekt]]&lt;=K$434,K$434,IF(Tabell2[[#This Row],[Inntekt]]&gt;=K$435,K$435,Tabell2[[#This Row],[Inntekt]]))</f>
        <v>385200</v>
      </c>
      <c r="V118" s="7">
        <f>IF(Tabell2[[#This Row],[NIBR11-T]]&lt;=L$437,100,IF(Tabell2[[#This Row],[NIBR11-T]]&gt;=L$436,0,100*(L$436-Tabell2[[#This Row],[NIBR11-T]])/L$439))</f>
        <v>70</v>
      </c>
      <c r="W118" s="7">
        <f>(M$436-Tabell2[[#This Row],[ReisetidOslo-T]])*100/M$439</f>
        <v>86.547714808045257</v>
      </c>
      <c r="X118" s="7">
        <f>100-(N$436-Tabell2[[#This Row],[Beftettland-T]])*100/N$439</f>
        <v>63.753445328133367</v>
      </c>
      <c r="Y118" s="7">
        <f>100-(O$436-Tabell2[[#This Row],[Beftettotal-T]])*100/O$439</f>
        <v>61.755120043740774</v>
      </c>
      <c r="Z118" s="7">
        <f>100-(P$436-Tabell2[[#This Row],[Befvekst10-T]])*100/P$439</f>
        <v>54.849848052347753</v>
      </c>
      <c r="AA118" s="7">
        <f>100-(Q$436-Tabell2[[#This Row],[Kvinneandel-T]])*100/Q$439</f>
        <v>55.092622967531319</v>
      </c>
      <c r="AB118" s="7">
        <f>(R$436-Tabell2[[#This Row],[Eldreandel-T]])*100/R$439</f>
        <v>54.868632558300803</v>
      </c>
      <c r="AC118" s="7">
        <f>100-(S$436-Tabell2[[#This Row],[Sysselsettingsvekst10-T]])*100/S$439</f>
        <v>23.353903776187821</v>
      </c>
      <c r="AD118" s="7">
        <f>100-(T$436-Tabell2[[#This Row],[Yrkesaktivandel-T]])*100/T$439</f>
        <v>2.1871317931995122</v>
      </c>
      <c r="AE118" s="7">
        <f>100-(U$436-Tabell2[[#This Row],[Inntekt-T]])*100/U$439</f>
        <v>46.033179099424444</v>
      </c>
      <c r="AF118" s="7">
        <v>14</v>
      </c>
      <c r="AG118" s="7">
        <v>8.6547714808045253</v>
      </c>
      <c r="AH118" s="7">
        <v>6.1755120043740774</v>
      </c>
      <c r="AI118" s="7">
        <v>10.969969610469551</v>
      </c>
      <c r="AJ118" s="7">
        <v>2.754631148376566</v>
      </c>
      <c r="AK118" s="7">
        <v>2.7434316279150401</v>
      </c>
      <c r="AL118" s="7">
        <v>2.3353903776187823</v>
      </c>
      <c r="AM118" s="7">
        <v>0.21871317931995124</v>
      </c>
      <c r="AN118" s="7">
        <v>4.6033179099424446</v>
      </c>
      <c r="AO11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52.455737338820938</v>
      </c>
    </row>
    <row r="119" spans="1:41" x14ac:dyDescent="0.3">
      <c r="A119" s="2" t="s">
        <v>116</v>
      </c>
      <c r="B119">
        <f>'Rådata-K'!N118</f>
        <v>2</v>
      </c>
      <c r="C119" s="7">
        <f>'Rådata-K'!M118</f>
        <v>46.733333333300003</v>
      </c>
      <c r="D119" s="24">
        <f>'Rådata-K'!O118</f>
        <v>117.40444444444445</v>
      </c>
      <c r="E119" s="24">
        <f>'Rådata-K'!P118</f>
        <v>114.41441441441442</v>
      </c>
      <c r="F119" s="24">
        <f>'Rådata-K'!Q118</f>
        <v>2.1500386697602458E-2</v>
      </c>
      <c r="G119" s="24">
        <f>'Rådata-K'!R118</f>
        <v>0.10690490611750454</v>
      </c>
      <c r="H119" s="24">
        <f>'Rådata-K'!S118</f>
        <v>0.16187159297395518</v>
      </c>
      <c r="I119" s="24">
        <f>'Rådata-K'!T118</f>
        <v>1.1363636363636465E-2</v>
      </c>
      <c r="J119" s="24">
        <f>'Rådata-K'!U118</f>
        <v>0.81700697854742832</v>
      </c>
      <c r="K119" s="24">
        <f>'Rådata-K'!L118</f>
        <v>390200</v>
      </c>
      <c r="L119" s="24">
        <f>Tabell2[[#This Row],[NIBR11]]</f>
        <v>2</v>
      </c>
      <c r="M119" s="24">
        <f>IF(Tabell2[[#This Row],[ReisetidOslo]]&lt;=C$434,C$434,IF(Tabell2[[#This Row],[ReisetidOslo]]&gt;=C$435,C$435,Tabell2[[#This Row],[ReisetidOslo]]))</f>
        <v>52.54</v>
      </c>
      <c r="N119" s="24">
        <f>IF(Tabell2[[#This Row],[Beftettland]]&lt;=D$434,D$434,IF(Tabell2[[#This Row],[Beftettland]]&gt;=D$435,D$435,Tabell2[[#This Row],[Beftettland]]))</f>
        <v>117.40444444444445</v>
      </c>
      <c r="O119" s="24">
        <f>IF(Tabell2[[#This Row],[Beftettotal]]&lt;=E$434,E$434,IF(Tabell2[[#This Row],[Beftettotal]]&gt;=E$435,E$435,Tabell2[[#This Row],[Beftettotal]]))</f>
        <v>114.41441441441442</v>
      </c>
      <c r="P119" s="24">
        <f>IF(Tabell2[[#This Row],[Befvekst10]]&lt;=F$434,F$434,IF(Tabell2[[#This Row],[Befvekst10]]&gt;=F$435,F$435,Tabell2[[#This Row],[Befvekst10]]))</f>
        <v>2.1500386697602458E-2</v>
      </c>
      <c r="Q119" s="24">
        <f>IF(Tabell2[[#This Row],[Kvinneandel]]&lt;=G$434,G$434,IF(Tabell2[[#This Row],[Kvinneandel]]&gt;=G$435,G$435,Tabell2[[#This Row],[Kvinneandel]]))</f>
        <v>0.10690490611750454</v>
      </c>
      <c r="R119" s="24">
        <f>IF(Tabell2[[#This Row],[Eldreandel]]&lt;=H$434,H$434,IF(Tabell2[[#This Row],[Eldreandel]]&gt;=H$435,H$435,Tabell2[[#This Row],[Eldreandel]]))</f>
        <v>0.16187159297395518</v>
      </c>
      <c r="S119" s="24">
        <f>IF(Tabell2[[#This Row],[Sysselsettingsvekst10]]&lt;=I$434,I$434,IF(Tabell2[[#This Row],[Sysselsettingsvekst10]]&gt;=I$435,I$435,Tabell2[[#This Row],[Sysselsettingsvekst10]]))</f>
        <v>1.1363636363636465E-2</v>
      </c>
      <c r="T119" s="24">
        <f>IF(Tabell2[[#This Row],[Yrkesaktivandel]]&lt;=J$434,J$434,IF(Tabell2[[#This Row],[Yrkesaktivandel]]&gt;=J$435,J$435,Tabell2[[#This Row],[Yrkesaktivandel]]))</f>
        <v>0.81700697854742832</v>
      </c>
      <c r="U119" s="24">
        <f>IF(Tabell2[[#This Row],[Inntekt]]&lt;=K$434,K$434,IF(Tabell2[[#This Row],[Inntekt]]&gt;=K$435,K$435,Tabell2[[#This Row],[Inntekt]]))</f>
        <v>390200</v>
      </c>
      <c r="V119" s="7">
        <f>IF(Tabell2[[#This Row],[NIBR11-T]]&lt;=L$437,100,IF(Tabell2[[#This Row],[NIBR11-T]]&gt;=L$436,0,100*(L$436-Tabell2[[#This Row],[NIBR11-T]])/L$439))</f>
        <v>90</v>
      </c>
      <c r="W119" s="7">
        <f>(M$436-Tabell2[[#This Row],[ReisetidOslo-T]])*100/M$439</f>
        <v>100</v>
      </c>
      <c r="X119" s="7">
        <f>100-(N$436-Tabell2[[#This Row],[Beftettland-T]])*100/N$439</f>
        <v>85.80704126166178</v>
      </c>
      <c r="Y119" s="7">
        <f>100-(O$436-Tabell2[[#This Row],[Beftettotal-T]])*100/O$439</f>
        <v>86.568308773943329</v>
      </c>
      <c r="Z119" s="7">
        <f>100-(P$436-Tabell2[[#This Row],[Befvekst10-T]])*100/P$439</f>
        <v>37.465998171680084</v>
      </c>
      <c r="AA119" s="7">
        <f>100-(Q$436-Tabell2[[#This Row],[Kvinneandel-T]])*100/Q$439</f>
        <v>45.666295460327888</v>
      </c>
      <c r="AB119" s="7">
        <f>(R$436-Tabell2[[#This Row],[Eldreandel-T]])*100/R$439</f>
        <v>63.090396497924026</v>
      </c>
      <c r="AC119" s="7">
        <f>100-(S$436-Tabell2[[#This Row],[Sysselsettingsvekst10-T]])*100/S$439</f>
        <v>33.918945169158874</v>
      </c>
      <c r="AD119" s="7">
        <f>100-(T$436-Tabell2[[#This Row],[Yrkesaktivandel-T]])*100/T$439</f>
        <v>12.781837125930139</v>
      </c>
      <c r="AE119" s="7">
        <f>100-(U$436-Tabell2[[#This Row],[Inntekt-T]])*100/U$439</f>
        <v>51.67588308317346</v>
      </c>
      <c r="AF119" s="7">
        <v>18</v>
      </c>
      <c r="AG119" s="7">
        <v>10</v>
      </c>
      <c r="AH119" s="7">
        <v>8.6568308773943325</v>
      </c>
      <c r="AI119" s="7">
        <v>7.4931996343360172</v>
      </c>
      <c r="AJ119" s="7">
        <v>2.2833147730163943</v>
      </c>
      <c r="AK119" s="7">
        <v>3.1545198248962016</v>
      </c>
      <c r="AL119" s="7">
        <v>3.3918945169158876</v>
      </c>
      <c r="AM119" s="7">
        <v>1.278183712593014</v>
      </c>
      <c r="AN119" s="7">
        <v>5.1675883083173462</v>
      </c>
      <c r="AO11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59.425531647469199</v>
      </c>
    </row>
    <row r="120" spans="1:41" x14ac:dyDescent="0.3">
      <c r="A120" s="2" t="s">
        <v>117</v>
      </c>
      <c r="B120">
        <f>'Rådata-K'!N119</f>
        <v>2</v>
      </c>
      <c r="C120" s="7">
        <f>'Rådata-K'!M119</f>
        <v>41.9666666667</v>
      </c>
      <c r="D120" s="24">
        <f>'Rådata-K'!O119</f>
        <v>53.351314128314016</v>
      </c>
      <c r="E120" s="24">
        <f>'Rådata-K'!P119</f>
        <v>52.130761466861053</v>
      </c>
      <c r="F120" s="24">
        <f>'Rådata-K'!Q119</f>
        <v>0.20116279069767451</v>
      </c>
      <c r="G120" s="24">
        <f>'Rådata-K'!R119</f>
        <v>0.11423039690222653</v>
      </c>
      <c r="H120" s="24">
        <f>'Rådata-K'!S119</f>
        <v>0.14370226954931697</v>
      </c>
      <c r="I120" s="24">
        <f>'Rådata-K'!T119</f>
        <v>0.18559837728194717</v>
      </c>
      <c r="J120" s="24">
        <f>'Rådata-K'!U119</f>
        <v>0.8421837152971865</v>
      </c>
      <c r="K120" s="24">
        <f>'Rådata-K'!L119</f>
        <v>406900</v>
      </c>
      <c r="L120" s="24">
        <f>Tabell2[[#This Row],[NIBR11]]</f>
        <v>2</v>
      </c>
      <c r="M120" s="24">
        <f>IF(Tabell2[[#This Row],[ReisetidOslo]]&lt;=C$434,C$434,IF(Tabell2[[#This Row],[ReisetidOslo]]&gt;=C$435,C$435,Tabell2[[#This Row],[ReisetidOslo]]))</f>
        <v>52.54</v>
      </c>
      <c r="N120" s="24">
        <f>IF(Tabell2[[#This Row],[Beftettland]]&lt;=D$434,D$434,IF(Tabell2[[#This Row],[Beftettland]]&gt;=D$435,D$435,Tabell2[[#This Row],[Beftettland]]))</f>
        <v>53.351314128314016</v>
      </c>
      <c r="O120" s="24">
        <f>IF(Tabell2[[#This Row],[Beftettotal]]&lt;=E$434,E$434,IF(Tabell2[[#This Row],[Beftettotal]]&gt;=E$435,E$435,Tabell2[[#This Row],[Beftettotal]]))</f>
        <v>52.130761466861053</v>
      </c>
      <c r="P120" s="24">
        <f>IF(Tabell2[[#This Row],[Befvekst10]]&lt;=F$434,F$434,IF(Tabell2[[#This Row],[Befvekst10]]&gt;=F$435,F$435,Tabell2[[#This Row],[Befvekst10]]))</f>
        <v>0.17599648151968622</v>
      </c>
      <c r="Q120" s="24">
        <f>IF(Tabell2[[#This Row],[Kvinneandel]]&lt;=G$434,G$434,IF(Tabell2[[#This Row],[Kvinneandel]]&gt;=G$435,G$435,Tabell2[[#This Row],[Kvinneandel]]))</f>
        <v>0.11423039690222653</v>
      </c>
      <c r="R120" s="24">
        <f>IF(Tabell2[[#This Row],[Eldreandel]]&lt;=H$434,H$434,IF(Tabell2[[#This Row],[Eldreandel]]&gt;=H$435,H$435,Tabell2[[#This Row],[Eldreandel]]))</f>
        <v>0.14370226954931697</v>
      </c>
      <c r="S120" s="24">
        <f>IF(Tabell2[[#This Row],[Sysselsettingsvekst10]]&lt;=I$434,I$434,IF(Tabell2[[#This Row],[Sysselsettingsvekst10]]&gt;=I$435,I$435,Tabell2[[#This Row],[Sysselsettingsvekst10]]))</f>
        <v>0.18559837728194717</v>
      </c>
      <c r="T120" s="24">
        <f>IF(Tabell2[[#This Row],[Yrkesaktivandel]]&lt;=J$434,J$434,IF(Tabell2[[#This Row],[Yrkesaktivandel]]&gt;=J$435,J$435,Tabell2[[#This Row],[Yrkesaktivandel]]))</f>
        <v>0.8421837152971865</v>
      </c>
      <c r="U120" s="24">
        <f>IF(Tabell2[[#This Row],[Inntekt]]&lt;=K$434,K$434,IF(Tabell2[[#This Row],[Inntekt]]&gt;=K$435,K$435,Tabell2[[#This Row],[Inntekt]]))</f>
        <v>406900</v>
      </c>
      <c r="V120" s="7">
        <f>IF(Tabell2[[#This Row],[NIBR11-T]]&lt;=L$437,100,IF(Tabell2[[#This Row],[NIBR11-T]]&gt;=L$436,0,100*(L$436-Tabell2[[#This Row],[NIBR11-T]])/L$439))</f>
        <v>90</v>
      </c>
      <c r="W120" s="7">
        <f>(M$436-Tabell2[[#This Row],[ReisetidOslo-T]])*100/M$439</f>
        <v>100</v>
      </c>
      <c r="X120" s="7">
        <f>100-(N$436-Tabell2[[#This Row],[Beftettland-T]])*100/N$439</f>
        <v>38.426700957291054</v>
      </c>
      <c r="Y120" s="7">
        <f>100-(O$436-Tabell2[[#This Row],[Beftettotal-T]])*100/O$439</f>
        <v>38.893998809949025</v>
      </c>
      <c r="Z120" s="7">
        <f>100-(P$436-Tabell2[[#This Row],[Befvekst10-T]])*100/P$439</f>
        <v>100</v>
      </c>
      <c r="AA120" s="7">
        <f>100-(Q$436-Tabell2[[#This Row],[Kvinneandel-T]])*100/Q$439</f>
        <v>64.910749989297415</v>
      </c>
      <c r="AB120" s="7">
        <f>(R$436-Tabell2[[#This Row],[Eldreandel-T]])*100/R$439</f>
        <v>82.699726631745577</v>
      </c>
      <c r="AC120" s="7">
        <f>100-(S$436-Tabell2[[#This Row],[Sysselsettingsvekst10-T]])*100/S$439</f>
        <v>90.780679519449322</v>
      </c>
      <c r="AD120" s="7">
        <f>100-(T$436-Tabell2[[#This Row],[Yrkesaktivandel-T]])*100/T$439</f>
        <v>30.538834024566626</v>
      </c>
      <c r="AE120" s="7">
        <f>100-(U$436-Tabell2[[#This Row],[Inntekt-T]])*100/U$439</f>
        <v>70.522514388895161</v>
      </c>
      <c r="AF120" s="7">
        <v>18</v>
      </c>
      <c r="AG120" s="7">
        <v>10</v>
      </c>
      <c r="AH120" s="7">
        <v>3.8893998809949029</v>
      </c>
      <c r="AI120" s="7">
        <v>20</v>
      </c>
      <c r="AJ120" s="7">
        <v>3.2455374994648709</v>
      </c>
      <c r="AK120" s="7">
        <v>4.134986331587279</v>
      </c>
      <c r="AL120" s="7">
        <v>9.0780679519449325</v>
      </c>
      <c r="AM120" s="7">
        <v>3.0538834024566626</v>
      </c>
      <c r="AN120" s="7">
        <v>7.0522514388895168</v>
      </c>
      <c r="AO12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78.454126505338166</v>
      </c>
    </row>
    <row r="121" spans="1:41" x14ac:dyDescent="0.3">
      <c r="A121" s="2" t="s">
        <v>118</v>
      </c>
      <c r="B121">
        <f>'Rådata-K'!N120</f>
        <v>2</v>
      </c>
      <c r="C121" s="7">
        <f>'Rådata-K'!M120</f>
        <v>51.383333333300001</v>
      </c>
      <c r="D121" s="24">
        <f>'Rådata-K'!O120</f>
        <v>21.288194911832008</v>
      </c>
      <c r="E121" s="24">
        <f>'Rådata-K'!P120</f>
        <v>19.390632663070132</v>
      </c>
      <c r="F121" s="24">
        <f>'Rådata-K'!Q120</f>
        <v>2.7281584930172187E-2</v>
      </c>
      <c r="G121" s="24">
        <f>'Rådata-K'!R120</f>
        <v>0.10654441985456845</v>
      </c>
      <c r="H121" s="24">
        <f>'Rådata-K'!S120</f>
        <v>0.15586468542522922</v>
      </c>
      <c r="I121" s="24">
        <f>'Rådata-K'!T120</f>
        <v>0.15650172612197921</v>
      </c>
      <c r="J121" s="24">
        <f>'Rådata-K'!U120</f>
        <v>0.85116784356328079</v>
      </c>
      <c r="K121" s="24">
        <f>'Rådata-K'!L120</f>
        <v>395700</v>
      </c>
      <c r="L121" s="24">
        <f>Tabell2[[#This Row],[NIBR11]]</f>
        <v>2</v>
      </c>
      <c r="M121" s="24">
        <f>IF(Tabell2[[#This Row],[ReisetidOslo]]&lt;=C$434,C$434,IF(Tabell2[[#This Row],[ReisetidOslo]]&gt;=C$435,C$435,Tabell2[[#This Row],[ReisetidOslo]]))</f>
        <v>52.54</v>
      </c>
      <c r="N121" s="24">
        <f>IF(Tabell2[[#This Row],[Beftettland]]&lt;=D$434,D$434,IF(Tabell2[[#This Row],[Beftettland]]&gt;=D$435,D$435,Tabell2[[#This Row],[Beftettland]]))</f>
        <v>21.288194911832008</v>
      </c>
      <c r="O121" s="24">
        <f>IF(Tabell2[[#This Row],[Beftettotal]]&lt;=E$434,E$434,IF(Tabell2[[#This Row],[Beftettotal]]&gt;=E$435,E$435,Tabell2[[#This Row],[Beftettotal]]))</f>
        <v>19.390632663070132</v>
      </c>
      <c r="P121" s="24">
        <f>IF(Tabell2[[#This Row],[Befvekst10]]&lt;=F$434,F$434,IF(Tabell2[[#This Row],[Befvekst10]]&gt;=F$435,F$435,Tabell2[[#This Row],[Befvekst10]]))</f>
        <v>2.7281584930172187E-2</v>
      </c>
      <c r="Q121" s="24">
        <f>IF(Tabell2[[#This Row],[Kvinneandel]]&lt;=G$434,G$434,IF(Tabell2[[#This Row],[Kvinneandel]]&gt;=G$435,G$435,Tabell2[[#This Row],[Kvinneandel]]))</f>
        <v>0.10654441985456845</v>
      </c>
      <c r="R121" s="24">
        <f>IF(Tabell2[[#This Row],[Eldreandel]]&lt;=H$434,H$434,IF(Tabell2[[#This Row],[Eldreandel]]&gt;=H$435,H$435,Tabell2[[#This Row],[Eldreandel]]))</f>
        <v>0.15586468542522922</v>
      </c>
      <c r="S121" s="24">
        <f>IF(Tabell2[[#This Row],[Sysselsettingsvekst10]]&lt;=I$434,I$434,IF(Tabell2[[#This Row],[Sysselsettingsvekst10]]&gt;=I$435,I$435,Tabell2[[#This Row],[Sysselsettingsvekst10]]))</f>
        <v>0.15650172612197921</v>
      </c>
      <c r="T121" s="24">
        <f>IF(Tabell2[[#This Row],[Yrkesaktivandel]]&lt;=J$434,J$434,IF(Tabell2[[#This Row],[Yrkesaktivandel]]&gt;=J$435,J$435,Tabell2[[#This Row],[Yrkesaktivandel]]))</f>
        <v>0.85116784356328079</v>
      </c>
      <c r="U121" s="24">
        <f>IF(Tabell2[[#This Row],[Inntekt]]&lt;=K$434,K$434,IF(Tabell2[[#This Row],[Inntekt]]&gt;=K$435,K$435,Tabell2[[#This Row],[Inntekt]]))</f>
        <v>395700</v>
      </c>
      <c r="V121" s="7">
        <f>IF(Tabell2[[#This Row],[NIBR11-T]]&lt;=L$437,100,IF(Tabell2[[#This Row],[NIBR11-T]]&gt;=L$436,0,100*(L$436-Tabell2[[#This Row],[NIBR11-T]])/L$439))</f>
        <v>90</v>
      </c>
      <c r="W121" s="7">
        <f>(M$436-Tabell2[[#This Row],[ReisetidOslo-T]])*100/M$439</f>
        <v>100</v>
      </c>
      <c r="X121" s="7">
        <f>100-(N$436-Tabell2[[#This Row],[Beftettland-T]])*100/N$439</f>
        <v>14.709491631239473</v>
      </c>
      <c r="Y121" s="7">
        <f>100-(O$436-Tabell2[[#This Row],[Beftettotal-T]])*100/O$439</f>
        <v>13.833441585288995</v>
      </c>
      <c r="Z121" s="7">
        <f>100-(P$436-Tabell2[[#This Row],[Befvekst10-T]])*100/P$439</f>
        <v>39.806002048552962</v>
      </c>
      <c r="AA121" s="7">
        <f>100-(Q$436-Tabell2[[#This Row],[Kvinneandel-T]])*100/Q$439</f>
        <v>44.719278844067809</v>
      </c>
      <c r="AB121" s="7">
        <f>(R$436-Tabell2[[#This Row],[Eldreandel-T]])*100/R$439</f>
        <v>69.573380506375486</v>
      </c>
      <c r="AC121" s="7">
        <f>100-(S$436-Tabell2[[#This Row],[Sysselsettingsvekst10-T]])*100/S$439</f>
        <v>81.284949563292827</v>
      </c>
      <c r="AD121" s="7">
        <f>100-(T$436-Tabell2[[#This Row],[Yrkesaktivandel-T]])*100/T$439</f>
        <v>36.875284190592254</v>
      </c>
      <c r="AE121" s="7">
        <f>100-(U$436-Tabell2[[#This Row],[Inntekt-T]])*100/U$439</f>
        <v>57.88285746529737</v>
      </c>
      <c r="AF121" s="7">
        <v>18</v>
      </c>
      <c r="AG121" s="7">
        <v>10</v>
      </c>
      <c r="AH121" s="7">
        <v>1.3833441585288995</v>
      </c>
      <c r="AI121" s="7">
        <v>7.9612004097105924</v>
      </c>
      <c r="AJ121" s="7">
        <v>2.2359639422033903</v>
      </c>
      <c r="AK121" s="7">
        <v>3.4786690253187746</v>
      </c>
      <c r="AL121" s="7">
        <v>8.1284949563292823</v>
      </c>
      <c r="AM121" s="7">
        <v>3.6875284190592255</v>
      </c>
      <c r="AN121" s="7">
        <v>5.7882857465297377</v>
      </c>
      <c r="AO12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60.663486657679904</v>
      </c>
    </row>
    <row r="122" spans="1:41" x14ac:dyDescent="0.3">
      <c r="A122" s="2" t="s">
        <v>119</v>
      </c>
      <c r="B122">
        <f>'Rådata-K'!N121</f>
        <v>2</v>
      </c>
      <c r="C122" s="7">
        <f>'Rådata-K'!M121</f>
        <v>59.516666666699997</v>
      </c>
      <c r="D122" s="24">
        <f>'Rådata-K'!O121</f>
        <v>42.09650582362729</v>
      </c>
      <c r="E122" s="24">
        <f>'Rådata-K'!P121</f>
        <v>41.667408528442984</v>
      </c>
      <c r="F122" s="24">
        <f>'Rådata-K'!Q121</f>
        <v>0.13563023171175548</v>
      </c>
      <c r="G122" s="24">
        <f>'Rådata-K'!R121</f>
        <v>0.12039312039312039</v>
      </c>
      <c r="H122" s="24">
        <f>'Rådata-K'!S121</f>
        <v>0.12936652067086848</v>
      </c>
      <c r="I122" s="24">
        <f>'Rådata-K'!T121</f>
        <v>0.15294948781349338</v>
      </c>
      <c r="J122" s="24">
        <f>'Rådata-K'!U121</f>
        <v>0.86885543261382192</v>
      </c>
      <c r="K122" s="24">
        <f>'Rådata-K'!L121</f>
        <v>400100</v>
      </c>
      <c r="L122" s="24">
        <f>Tabell2[[#This Row],[NIBR11]]</f>
        <v>2</v>
      </c>
      <c r="M122" s="24">
        <f>IF(Tabell2[[#This Row],[ReisetidOslo]]&lt;=C$434,C$434,IF(Tabell2[[#This Row],[ReisetidOslo]]&gt;=C$435,C$435,Tabell2[[#This Row],[ReisetidOslo]]))</f>
        <v>59.516666666699997</v>
      </c>
      <c r="N122" s="24">
        <f>IF(Tabell2[[#This Row],[Beftettland]]&lt;=D$434,D$434,IF(Tabell2[[#This Row],[Beftettland]]&gt;=D$435,D$435,Tabell2[[#This Row],[Beftettland]]))</f>
        <v>42.09650582362729</v>
      </c>
      <c r="O122" s="24">
        <f>IF(Tabell2[[#This Row],[Beftettotal]]&lt;=E$434,E$434,IF(Tabell2[[#This Row],[Beftettotal]]&gt;=E$435,E$435,Tabell2[[#This Row],[Beftettotal]]))</f>
        <v>41.667408528442984</v>
      </c>
      <c r="P122" s="24">
        <f>IF(Tabell2[[#This Row],[Befvekst10]]&lt;=F$434,F$434,IF(Tabell2[[#This Row],[Befvekst10]]&gt;=F$435,F$435,Tabell2[[#This Row],[Befvekst10]]))</f>
        <v>0.13563023171175548</v>
      </c>
      <c r="Q122" s="24">
        <f>IF(Tabell2[[#This Row],[Kvinneandel]]&lt;=G$434,G$434,IF(Tabell2[[#This Row],[Kvinneandel]]&gt;=G$435,G$435,Tabell2[[#This Row],[Kvinneandel]]))</f>
        <v>0.12039312039312039</v>
      </c>
      <c r="R122" s="24">
        <f>IF(Tabell2[[#This Row],[Eldreandel]]&lt;=H$434,H$434,IF(Tabell2[[#This Row],[Eldreandel]]&gt;=H$435,H$435,Tabell2[[#This Row],[Eldreandel]]))</f>
        <v>0.12936652067086848</v>
      </c>
      <c r="S122" s="24">
        <f>IF(Tabell2[[#This Row],[Sysselsettingsvekst10]]&lt;=I$434,I$434,IF(Tabell2[[#This Row],[Sysselsettingsvekst10]]&gt;=I$435,I$435,Tabell2[[#This Row],[Sysselsettingsvekst10]]))</f>
        <v>0.15294948781349338</v>
      </c>
      <c r="T122" s="24">
        <f>IF(Tabell2[[#This Row],[Yrkesaktivandel]]&lt;=J$434,J$434,IF(Tabell2[[#This Row],[Yrkesaktivandel]]&gt;=J$435,J$435,Tabell2[[#This Row],[Yrkesaktivandel]]))</f>
        <v>0.86885543261382192</v>
      </c>
      <c r="U122" s="24">
        <f>IF(Tabell2[[#This Row],[Inntekt]]&lt;=K$434,K$434,IF(Tabell2[[#This Row],[Inntekt]]&gt;=K$435,K$435,Tabell2[[#This Row],[Inntekt]]))</f>
        <v>400100</v>
      </c>
      <c r="V122" s="7">
        <f>IF(Tabell2[[#This Row],[NIBR11-T]]&lt;=L$437,100,IF(Tabell2[[#This Row],[NIBR11-T]]&gt;=L$436,0,100*(L$436-Tabell2[[#This Row],[NIBR11-T]])/L$439))</f>
        <v>90</v>
      </c>
      <c r="W122" s="7">
        <f>(M$436-Tabell2[[#This Row],[ReisetidOslo-T]])*100/M$439</f>
        <v>96.938939670918046</v>
      </c>
      <c r="X122" s="7">
        <f>100-(N$436-Tabell2[[#This Row],[Beftettland-T]])*100/N$439</f>
        <v>30.101477117259222</v>
      </c>
      <c r="Y122" s="7">
        <f>100-(O$436-Tabell2[[#This Row],[Beftettotal-T]])*100/O$439</f>
        <v>30.884944946829251</v>
      </c>
      <c r="Z122" s="7">
        <f>100-(P$436-Tabell2[[#This Row],[Befvekst10-T]])*100/P$439</f>
        <v>83.661314273357675</v>
      </c>
      <c r="AA122" s="7">
        <f>100-(Q$436-Tabell2[[#This Row],[Kvinneandel-T]])*100/Q$439</f>
        <v>81.100552895399957</v>
      </c>
      <c r="AB122" s="7">
        <f>(R$436-Tabell2[[#This Row],[Eldreandel-T]])*100/R$439</f>
        <v>98.171652905668253</v>
      </c>
      <c r="AC122" s="7">
        <f>100-(S$436-Tabell2[[#This Row],[Sysselsettingsvekst10-T]])*100/S$439</f>
        <v>80.125671970423184</v>
      </c>
      <c r="AD122" s="7">
        <f>100-(T$436-Tabell2[[#This Row],[Yrkesaktivandel-T]])*100/T$439</f>
        <v>49.350231481679621</v>
      </c>
      <c r="AE122" s="7">
        <f>100-(U$436-Tabell2[[#This Row],[Inntekt-T]])*100/U$439</f>
        <v>62.848436970996502</v>
      </c>
      <c r="AF122" s="7">
        <v>18</v>
      </c>
      <c r="AG122" s="7">
        <v>9.693893967091805</v>
      </c>
      <c r="AH122" s="7">
        <v>3.0884944946829251</v>
      </c>
      <c r="AI122" s="7">
        <v>16.732262854671536</v>
      </c>
      <c r="AJ122" s="7">
        <v>4.0550276447699982</v>
      </c>
      <c r="AK122" s="7">
        <v>4.9085826452834134</v>
      </c>
      <c r="AL122" s="7">
        <v>8.0125671970423191</v>
      </c>
      <c r="AM122" s="7">
        <v>4.9350231481679625</v>
      </c>
      <c r="AN122" s="7">
        <v>6.2848436970996504</v>
      </c>
      <c r="AO12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75.71069564880959</v>
      </c>
    </row>
    <row r="123" spans="1:41" x14ac:dyDescent="0.3">
      <c r="A123" s="2" t="s">
        <v>120</v>
      </c>
      <c r="B123">
        <f>'Rådata-K'!N122</f>
        <v>2</v>
      </c>
      <c r="C123" s="7">
        <f>'Rådata-K'!M122</f>
        <v>72.3</v>
      </c>
      <c r="D123" s="24">
        <f>'Rådata-K'!O122</f>
        <v>32.4781181619256</v>
      </c>
      <c r="E123" s="24">
        <f>'Rådata-K'!P122</f>
        <v>31.93652501344809</v>
      </c>
      <c r="F123" s="24">
        <f>'Rådata-K'!Q122</f>
        <v>0.15348746842821059</v>
      </c>
      <c r="G123" s="24">
        <f>'Rådata-K'!R122</f>
        <v>0.13390601313794845</v>
      </c>
      <c r="H123" s="24">
        <f>'Rådata-K'!S122</f>
        <v>0.12649486272528213</v>
      </c>
      <c r="I123" s="24">
        <f>'Rådata-K'!T122</f>
        <v>0.22336182336182331</v>
      </c>
      <c r="J123" s="24">
        <f>'Rådata-K'!U122</f>
        <v>0.84119452972369524</v>
      </c>
      <c r="K123" s="24">
        <f>'Rådata-K'!L122</f>
        <v>375300</v>
      </c>
      <c r="L123" s="24">
        <f>Tabell2[[#This Row],[NIBR11]]</f>
        <v>2</v>
      </c>
      <c r="M123" s="24">
        <f>IF(Tabell2[[#This Row],[ReisetidOslo]]&lt;=C$434,C$434,IF(Tabell2[[#This Row],[ReisetidOslo]]&gt;=C$435,C$435,Tabell2[[#This Row],[ReisetidOslo]]))</f>
        <v>72.3</v>
      </c>
      <c r="N123" s="24">
        <f>IF(Tabell2[[#This Row],[Beftettland]]&lt;=D$434,D$434,IF(Tabell2[[#This Row],[Beftettland]]&gt;=D$435,D$435,Tabell2[[#This Row],[Beftettland]]))</f>
        <v>32.4781181619256</v>
      </c>
      <c r="O123" s="24">
        <f>IF(Tabell2[[#This Row],[Beftettotal]]&lt;=E$434,E$434,IF(Tabell2[[#This Row],[Beftettotal]]&gt;=E$435,E$435,Tabell2[[#This Row],[Beftettotal]]))</f>
        <v>31.93652501344809</v>
      </c>
      <c r="P123" s="24">
        <f>IF(Tabell2[[#This Row],[Befvekst10]]&lt;=F$434,F$434,IF(Tabell2[[#This Row],[Befvekst10]]&gt;=F$435,F$435,Tabell2[[#This Row],[Befvekst10]]))</f>
        <v>0.15348746842821059</v>
      </c>
      <c r="Q123" s="24">
        <f>IF(Tabell2[[#This Row],[Kvinneandel]]&lt;=G$434,G$434,IF(Tabell2[[#This Row],[Kvinneandel]]&gt;=G$435,G$435,Tabell2[[#This Row],[Kvinneandel]]))</f>
        <v>0.12758728250318055</v>
      </c>
      <c r="R123" s="24">
        <f>IF(Tabell2[[#This Row],[Eldreandel]]&lt;=H$434,H$434,IF(Tabell2[[#This Row],[Eldreandel]]&gt;=H$435,H$435,Tabell2[[#This Row],[Eldreandel]]))</f>
        <v>0.12767243783057225</v>
      </c>
      <c r="S123" s="24">
        <f>IF(Tabell2[[#This Row],[Sysselsettingsvekst10]]&lt;=I$434,I$434,IF(Tabell2[[#This Row],[Sysselsettingsvekst10]]&gt;=I$435,I$435,Tabell2[[#This Row],[Sysselsettingsvekst10]]))</f>
        <v>0.21384805931725109</v>
      </c>
      <c r="T123" s="24">
        <f>IF(Tabell2[[#This Row],[Yrkesaktivandel]]&lt;=J$434,J$434,IF(Tabell2[[#This Row],[Yrkesaktivandel]]&gt;=J$435,J$435,Tabell2[[#This Row],[Yrkesaktivandel]]))</f>
        <v>0.84119452972369524</v>
      </c>
      <c r="U123" s="24">
        <f>IF(Tabell2[[#This Row],[Inntekt]]&lt;=K$434,K$434,IF(Tabell2[[#This Row],[Inntekt]]&gt;=K$435,K$435,Tabell2[[#This Row],[Inntekt]]))</f>
        <v>375300</v>
      </c>
      <c r="V123" s="7">
        <f>IF(Tabell2[[#This Row],[NIBR11-T]]&lt;=L$437,100,IF(Tabell2[[#This Row],[NIBR11-T]]&gt;=L$436,0,100*(L$436-Tabell2[[#This Row],[NIBR11-T]])/L$439))</f>
        <v>90</v>
      </c>
      <c r="W123" s="7">
        <f>(M$436-Tabell2[[#This Row],[ReisetidOslo-T]])*100/M$439</f>
        <v>91.330164533821716</v>
      </c>
      <c r="X123" s="7">
        <f>100-(N$436-Tabell2[[#This Row],[Beftettland-T]])*100/N$439</f>
        <v>22.986719753464584</v>
      </c>
      <c r="Y123" s="7">
        <f>100-(O$436-Tabell2[[#This Row],[Beftettotal-T]])*100/O$439</f>
        <v>23.436551428420287</v>
      </c>
      <c r="Z123" s="7">
        <f>100-(P$436-Tabell2[[#This Row],[Befvekst10-T]])*100/P$439</f>
        <v>90.889228187696474</v>
      </c>
      <c r="AA123" s="7">
        <f>100-(Q$436-Tabell2[[#This Row],[Kvinneandel-T]])*100/Q$439</f>
        <v>100</v>
      </c>
      <c r="AB123" s="7">
        <f>(R$436-Tabell2[[#This Row],[Eldreandel-T]])*100/R$439</f>
        <v>100</v>
      </c>
      <c r="AC123" s="7">
        <f>100-(S$436-Tabell2[[#This Row],[Sysselsettingsvekst10-T]])*100/S$439</f>
        <v>100</v>
      </c>
      <c r="AD123" s="7">
        <f>100-(T$436-Tabell2[[#This Row],[Yrkesaktivandel-T]])*100/T$439</f>
        <v>29.841167550343002</v>
      </c>
      <c r="AE123" s="7">
        <f>100-(U$436-Tabell2[[#This Row],[Inntekt-T]])*100/U$439</f>
        <v>34.860625211601402</v>
      </c>
      <c r="AF123" s="7">
        <v>18</v>
      </c>
      <c r="AG123" s="7">
        <v>9.1330164533821723</v>
      </c>
      <c r="AH123" s="7">
        <v>2.3436551428420289</v>
      </c>
      <c r="AI123" s="7">
        <v>18.177845637539296</v>
      </c>
      <c r="AJ123" s="7">
        <v>5</v>
      </c>
      <c r="AK123" s="7">
        <v>5</v>
      </c>
      <c r="AL123" s="7">
        <v>10</v>
      </c>
      <c r="AM123" s="7">
        <v>2.9841167550343002</v>
      </c>
      <c r="AN123" s="7">
        <v>3.4860625211601404</v>
      </c>
      <c r="AO12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74.124696509957943</v>
      </c>
    </row>
    <row r="124" spans="1:41" x14ac:dyDescent="0.3">
      <c r="A124" s="2" t="s">
        <v>121</v>
      </c>
      <c r="B124">
        <f>'Rådata-K'!N123</f>
        <v>2</v>
      </c>
      <c r="C124" s="7">
        <f>'Rådata-K'!M123</f>
        <v>69.166666666699996</v>
      </c>
      <c r="D124" s="24">
        <f>'Rådata-K'!O123</f>
        <v>100.84782420624622</v>
      </c>
      <c r="E124" s="24">
        <f>'Rådata-K'!P123</f>
        <v>98.487664751605266</v>
      </c>
      <c r="F124" s="24">
        <f>'Rådata-K'!Q123</f>
        <v>0.15108126789769916</v>
      </c>
      <c r="G124" s="24">
        <f>'Rådata-K'!R123</f>
        <v>0.12181521832375397</v>
      </c>
      <c r="H124" s="24">
        <f>'Rådata-K'!S123</f>
        <v>0.12842069143004203</v>
      </c>
      <c r="I124" s="24">
        <f>'Rådata-K'!T123</f>
        <v>0.30691884127364144</v>
      </c>
      <c r="J124" s="24">
        <f>'Rådata-K'!U123</f>
        <v>0.83765309028766732</v>
      </c>
      <c r="K124" s="24">
        <f>'Rådata-K'!L123</f>
        <v>385000</v>
      </c>
      <c r="L124" s="24">
        <f>Tabell2[[#This Row],[NIBR11]]</f>
        <v>2</v>
      </c>
      <c r="M124" s="24">
        <f>IF(Tabell2[[#This Row],[ReisetidOslo]]&lt;=C$434,C$434,IF(Tabell2[[#This Row],[ReisetidOslo]]&gt;=C$435,C$435,Tabell2[[#This Row],[ReisetidOslo]]))</f>
        <v>69.166666666699996</v>
      </c>
      <c r="N124" s="24">
        <f>IF(Tabell2[[#This Row],[Beftettland]]&lt;=D$434,D$434,IF(Tabell2[[#This Row],[Beftettland]]&gt;=D$435,D$435,Tabell2[[#This Row],[Beftettland]]))</f>
        <v>100.84782420624622</v>
      </c>
      <c r="O124" s="24">
        <f>IF(Tabell2[[#This Row],[Beftettotal]]&lt;=E$434,E$434,IF(Tabell2[[#This Row],[Beftettotal]]&gt;=E$435,E$435,Tabell2[[#This Row],[Beftettotal]]))</f>
        <v>98.487664751605266</v>
      </c>
      <c r="P124" s="24">
        <f>IF(Tabell2[[#This Row],[Befvekst10]]&lt;=F$434,F$434,IF(Tabell2[[#This Row],[Befvekst10]]&gt;=F$435,F$435,Tabell2[[#This Row],[Befvekst10]]))</f>
        <v>0.15108126789769916</v>
      </c>
      <c r="Q124" s="24">
        <f>IF(Tabell2[[#This Row],[Kvinneandel]]&lt;=G$434,G$434,IF(Tabell2[[#This Row],[Kvinneandel]]&gt;=G$435,G$435,Tabell2[[#This Row],[Kvinneandel]]))</f>
        <v>0.12181521832375397</v>
      </c>
      <c r="R124" s="24">
        <f>IF(Tabell2[[#This Row],[Eldreandel]]&lt;=H$434,H$434,IF(Tabell2[[#This Row],[Eldreandel]]&gt;=H$435,H$435,Tabell2[[#This Row],[Eldreandel]]))</f>
        <v>0.12842069143004203</v>
      </c>
      <c r="S124" s="24">
        <f>IF(Tabell2[[#This Row],[Sysselsettingsvekst10]]&lt;=I$434,I$434,IF(Tabell2[[#This Row],[Sysselsettingsvekst10]]&gt;=I$435,I$435,Tabell2[[#This Row],[Sysselsettingsvekst10]]))</f>
        <v>0.21384805931725109</v>
      </c>
      <c r="T124" s="24">
        <f>IF(Tabell2[[#This Row],[Yrkesaktivandel]]&lt;=J$434,J$434,IF(Tabell2[[#This Row],[Yrkesaktivandel]]&gt;=J$435,J$435,Tabell2[[#This Row],[Yrkesaktivandel]]))</f>
        <v>0.83765309028766732</v>
      </c>
      <c r="U124" s="24">
        <f>IF(Tabell2[[#This Row],[Inntekt]]&lt;=K$434,K$434,IF(Tabell2[[#This Row],[Inntekt]]&gt;=K$435,K$435,Tabell2[[#This Row],[Inntekt]]))</f>
        <v>385000</v>
      </c>
      <c r="V124" s="7">
        <f>IF(Tabell2[[#This Row],[NIBR11-T]]&lt;=L$437,100,IF(Tabell2[[#This Row],[NIBR11-T]]&gt;=L$436,0,100*(L$436-Tabell2[[#This Row],[NIBR11-T]])/L$439))</f>
        <v>90</v>
      </c>
      <c r="W124" s="7">
        <f>(M$436-Tabell2[[#This Row],[ReisetidOslo-T]])*100/M$439</f>
        <v>92.704936014611363</v>
      </c>
      <c r="X124" s="7">
        <f>100-(N$436-Tabell2[[#This Row],[Beftettland-T]])*100/N$439</f>
        <v>73.560047284873818</v>
      </c>
      <c r="Y124" s="7">
        <f>100-(O$436-Tabell2[[#This Row],[Beftettotal-T]])*100/O$439</f>
        <v>74.377360359548305</v>
      </c>
      <c r="Z124" s="7">
        <f>100-(P$436-Tabell2[[#This Row],[Befvekst10-T]])*100/P$439</f>
        <v>89.915291930294075</v>
      </c>
      <c r="AA124" s="7">
        <f>100-(Q$436-Tabell2[[#This Row],[Kvinneandel-T]])*100/Q$439</f>
        <v>84.836479916002745</v>
      </c>
      <c r="AB124" s="7">
        <f>(R$436-Tabell2[[#This Row],[Eldreandel-T]])*100/R$439</f>
        <v>99.192443685826703</v>
      </c>
      <c r="AC124" s="7">
        <f>100-(S$436-Tabell2[[#This Row],[Sysselsettingsvekst10-T]])*100/S$439</f>
        <v>100</v>
      </c>
      <c r="AD124" s="7">
        <f>100-(T$436-Tabell2[[#This Row],[Yrkesaktivandel-T]])*100/T$439</f>
        <v>27.343412193590481</v>
      </c>
      <c r="AE124" s="7">
        <f>100-(U$436-Tabell2[[#This Row],[Inntekt-T]])*100/U$439</f>
        <v>45.807470940074481</v>
      </c>
      <c r="AF124" s="7">
        <v>18</v>
      </c>
      <c r="AG124" s="7">
        <v>9.270493601461137</v>
      </c>
      <c r="AH124" s="7">
        <v>7.4377360359548312</v>
      </c>
      <c r="AI124" s="7">
        <v>17.983058386058815</v>
      </c>
      <c r="AJ124" s="7">
        <v>4.2418239958001376</v>
      </c>
      <c r="AK124" s="7">
        <v>4.9596221842913355</v>
      </c>
      <c r="AL124" s="7">
        <v>10</v>
      </c>
      <c r="AM124" s="7">
        <v>2.7343412193590484</v>
      </c>
      <c r="AN124" s="7">
        <v>4.5807470940074486</v>
      </c>
      <c r="AO12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79.207822516932751</v>
      </c>
    </row>
    <row r="125" spans="1:41" x14ac:dyDescent="0.3">
      <c r="A125" s="2" t="s">
        <v>122</v>
      </c>
      <c r="B125">
        <f>'Rådata-K'!N124</f>
        <v>2</v>
      </c>
      <c r="C125" s="7">
        <f>'Rådata-K'!M124</f>
        <v>71.966666666699993</v>
      </c>
      <c r="D125" s="24">
        <f>'Rådata-K'!O124</f>
        <v>357.78586794638426</v>
      </c>
      <c r="E125" s="24">
        <f>'Rådata-K'!P124</f>
        <v>357.01783355350062</v>
      </c>
      <c r="F125" s="24">
        <f>'Rådata-K'!Q124</f>
        <v>7.6635793247684436E-2</v>
      </c>
      <c r="G125" s="24">
        <f>'Rådata-K'!R124</f>
        <v>0.10933814347162481</v>
      </c>
      <c r="H125" s="24">
        <f>'Rådata-K'!S124</f>
        <v>0.16789232690439851</v>
      </c>
      <c r="I125" s="24">
        <f>'Rådata-K'!T124</f>
        <v>0.1608352144469527</v>
      </c>
      <c r="J125" s="24">
        <f>'Rådata-K'!U124</f>
        <v>0.83520999424673292</v>
      </c>
      <c r="K125" s="24">
        <f>'Rådata-K'!L124</f>
        <v>436600</v>
      </c>
      <c r="L125" s="24">
        <f>Tabell2[[#This Row],[NIBR11]]</f>
        <v>2</v>
      </c>
      <c r="M125" s="24">
        <f>IF(Tabell2[[#This Row],[ReisetidOslo]]&lt;=C$434,C$434,IF(Tabell2[[#This Row],[ReisetidOslo]]&gt;=C$435,C$435,Tabell2[[#This Row],[ReisetidOslo]]))</f>
        <v>71.966666666699993</v>
      </c>
      <c r="N125" s="24">
        <f>IF(Tabell2[[#This Row],[Beftettland]]&lt;=D$434,D$434,IF(Tabell2[[#This Row],[Beftettland]]&gt;=D$435,D$435,Tabell2[[#This Row],[Beftettland]]))</f>
        <v>136.59179999736304</v>
      </c>
      <c r="O125" s="24">
        <f>IF(Tabell2[[#This Row],[Beftettotal]]&lt;=E$434,E$434,IF(Tabell2[[#This Row],[Beftettotal]]&gt;=E$435,E$435,Tabell2[[#This Row],[Beftettotal]]))</f>
        <v>131.96212083018065</v>
      </c>
      <c r="P125" s="24">
        <f>IF(Tabell2[[#This Row],[Befvekst10]]&lt;=F$434,F$434,IF(Tabell2[[#This Row],[Befvekst10]]&gt;=F$435,F$435,Tabell2[[#This Row],[Befvekst10]]))</f>
        <v>7.6635793247684436E-2</v>
      </c>
      <c r="Q125" s="24">
        <f>IF(Tabell2[[#This Row],[Kvinneandel]]&lt;=G$434,G$434,IF(Tabell2[[#This Row],[Kvinneandel]]&gt;=G$435,G$435,Tabell2[[#This Row],[Kvinneandel]]))</f>
        <v>0.10933814347162481</v>
      </c>
      <c r="R125" s="24">
        <f>IF(Tabell2[[#This Row],[Eldreandel]]&lt;=H$434,H$434,IF(Tabell2[[#This Row],[Eldreandel]]&gt;=H$435,H$435,Tabell2[[#This Row],[Eldreandel]]))</f>
        <v>0.16789232690439851</v>
      </c>
      <c r="S125" s="24">
        <f>IF(Tabell2[[#This Row],[Sysselsettingsvekst10]]&lt;=I$434,I$434,IF(Tabell2[[#This Row],[Sysselsettingsvekst10]]&gt;=I$435,I$435,Tabell2[[#This Row],[Sysselsettingsvekst10]]))</f>
        <v>0.1608352144469527</v>
      </c>
      <c r="T125" s="24">
        <f>IF(Tabell2[[#This Row],[Yrkesaktivandel]]&lt;=J$434,J$434,IF(Tabell2[[#This Row],[Yrkesaktivandel]]&gt;=J$435,J$435,Tabell2[[#This Row],[Yrkesaktivandel]]))</f>
        <v>0.83520999424673292</v>
      </c>
      <c r="U125" s="24">
        <f>IF(Tabell2[[#This Row],[Inntekt]]&lt;=K$434,K$434,IF(Tabell2[[#This Row],[Inntekt]]&gt;=K$435,K$435,Tabell2[[#This Row],[Inntekt]]))</f>
        <v>433020</v>
      </c>
      <c r="V125" s="7">
        <f>IF(Tabell2[[#This Row],[NIBR11-T]]&lt;=L$437,100,IF(Tabell2[[#This Row],[NIBR11-T]]&gt;=L$436,0,100*(L$436-Tabell2[[#This Row],[NIBR11-T]])/L$439))</f>
        <v>90</v>
      </c>
      <c r="W125" s="7">
        <f>(M$436-Tabell2[[#This Row],[ReisetidOslo-T]])*100/M$439</f>
        <v>91.476416818999041</v>
      </c>
      <c r="X125" s="7">
        <f>100-(N$436-Tabell2[[#This Row],[Beftettland-T]])*100/N$439</f>
        <v>100</v>
      </c>
      <c r="Y125" s="7">
        <f>100-(O$436-Tabell2[[#This Row],[Beftettotal-T]])*100/O$439</f>
        <v>100</v>
      </c>
      <c r="Z125" s="7">
        <f>100-(P$436-Tabell2[[#This Row],[Befvekst10-T]])*100/P$439</f>
        <v>59.782663314436512</v>
      </c>
      <c r="AA125" s="7">
        <f>100-(Q$436-Tabell2[[#This Row],[Kvinneandel-T]])*100/Q$439</f>
        <v>52.058539611015846</v>
      </c>
      <c r="AB125" s="7">
        <f>(R$436-Tabell2[[#This Row],[Eldreandel-T]])*100/R$439</f>
        <v>56.59249030016943</v>
      </c>
      <c r="AC125" s="7">
        <f>100-(S$436-Tabell2[[#This Row],[Sysselsettingsvekst10-T]])*100/S$439</f>
        <v>82.699189115324856</v>
      </c>
      <c r="AD125" s="7">
        <f>100-(T$436-Tabell2[[#This Row],[Yrkesaktivandel-T]])*100/T$439</f>
        <v>25.620311648307933</v>
      </c>
      <c r="AE125" s="7">
        <f>100-(U$436-Tabell2[[#This Row],[Inntekt-T]])*100/U$439</f>
        <v>100</v>
      </c>
      <c r="AF125" s="7">
        <v>18</v>
      </c>
      <c r="AG125" s="7">
        <v>9.1476416818999038</v>
      </c>
      <c r="AH125" s="7">
        <v>10</v>
      </c>
      <c r="AI125" s="7">
        <v>11.956532662887303</v>
      </c>
      <c r="AJ125" s="7">
        <v>2.6029269805507926</v>
      </c>
      <c r="AK125" s="7">
        <v>2.8296245150084718</v>
      </c>
      <c r="AL125" s="7">
        <v>8.2699189115324856</v>
      </c>
      <c r="AM125" s="7">
        <v>2.5620311648307936</v>
      </c>
      <c r="AN125" s="7">
        <v>10</v>
      </c>
      <c r="AO12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75.368675916709748</v>
      </c>
    </row>
    <row r="126" spans="1:41" x14ac:dyDescent="0.3">
      <c r="A126" s="2" t="s">
        <v>123</v>
      </c>
      <c r="B126">
        <f>'Rådata-K'!N125</f>
        <v>3</v>
      </c>
      <c r="C126" s="7">
        <f>'Rådata-K'!M125</f>
        <v>86.533333333300007</v>
      </c>
      <c r="D126" s="24">
        <f>'Rådata-K'!O125</f>
        <v>126.52074319165182</v>
      </c>
      <c r="E126" s="24">
        <f>'Rådata-K'!P125</f>
        <v>126.16751269035534</v>
      </c>
      <c r="F126" s="24">
        <f>'Rådata-K'!Q125</f>
        <v>8.8699080157687238E-2</v>
      </c>
      <c r="G126" s="24">
        <f>'Rådata-K'!R125</f>
        <v>9.937638302152485E-2</v>
      </c>
      <c r="H126" s="24">
        <f>'Rådata-K'!S125</f>
        <v>0.17662442164554415</v>
      </c>
      <c r="I126" s="24">
        <f>'Rådata-K'!T125</f>
        <v>7.7315208156329751E-2</v>
      </c>
      <c r="J126" s="24">
        <f>'Rådata-K'!U125</f>
        <v>0.78925761204242217</v>
      </c>
      <c r="K126" s="24">
        <f>'Rådata-K'!L125</f>
        <v>394100</v>
      </c>
      <c r="L126" s="24">
        <f>Tabell2[[#This Row],[NIBR11]]</f>
        <v>3</v>
      </c>
      <c r="M126" s="24">
        <f>IF(Tabell2[[#This Row],[ReisetidOslo]]&lt;=C$434,C$434,IF(Tabell2[[#This Row],[ReisetidOslo]]&gt;=C$435,C$435,Tabell2[[#This Row],[ReisetidOslo]]))</f>
        <v>86.533333333300007</v>
      </c>
      <c r="N126" s="24">
        <f>IF(Tabell2[[#This Row],[Beftettland]]&lt;=D$434,D$434,IF(Tabell2[[#This Row],[Beftettland]]&gt;=D$435,D$435,Tabell2[[#This Row],[Beftettland]]))</f>
        <v>126.52074319165182</v>
      </c>
      <c r="O126" s="24">
        <f>IF(Tabell2[[#This Row],[Beftettotal]]&lt;=E$434,E$434,IF(Tabell2[[#This Row],[Beftettotal]]&gt;=E$435,E$435,Tabell2[[#This Row],[Beftettotal]]))</f>
        <v>126.16751269035534</v>
      </c>
      <c r="P126" s="24">
        <f>IF(Tabell2[[#This Row],[Befvekst10]]&lt;=F$434,F$434,IF(Tabell2[[#This Row],[Befvekst10]]&gt;=F$435,F$435,Tabell2[[#This Row],[Befvekst10]]))</f>
        <v>8.8699080157687238E-2</v>
      </c>
      <c r="Q126" s="24">
        <f>IF(Tabell2[[#This Row],[Kvinneandel]]&lt;=G$434,G$434,IF(Tabell2[[#This Row],[Kvinneandel]]&gt;=G$435,G$435,Tabell2[[#This Row],[Kvinneandel]]))</f>
        <v>9.937638302152485E-2</v>
      </c>
      <c r="R126" s="24">
        <f>IF(Tabell2[[#This Row],[Eldreandel]]&lt;=H$434,H$434,IF(Tabell2[[#This Row],[Eldreandel]]&gt;=H$435,H$435,Tabell2[[#This Row],[Eldreandel]]))</f>
        <v>0.17662442164554415</v>
      </c>
      <c r="S126" s="24">
        <f>IF(Tabell2[[#This Row],[Sysselsettingsvekst10]]&lt;=I$434,I$434,IF(Tabell2[[#This Row],[Sysselsettingsvekst10]]&gt;=I$435,I$435,Tabell2[[#This Row],[Sysselsettingsvekst10]]))</f>
        <v>7.7315208156329751E-2</v>
      </c>
      <c r="T126" s="24">
        <f>IF(Tabell2[[#This Row],[Yrkesaktivandel]]&lt;=J$434,J$434,IF(Tabell2[[#This Row],[Yrkesaktivandel]]&gt;=J$435,J$435,Tabell2[[#This Row],[Yrkesaktivandel]]))</f>
        <v>0.79888426611272945</v>
      </c>
      <c r="U126" s="24">
        <f>IF(Tabell2[[#This Row],[Inntekt]]&lt;=K$434,K$434,IF(Tabell2[[#This Row],[Inntekt]]&gt;=K$435,K$435,Tabell2[[#This Row],[Inntekt]]))</f>
        <v>394100</v>
      </c>
      <c r="V126" s="7">
        <f>IF(Tabell2[[#This Row],[NIBR11-T]]&lt;=L$437,100,IF(Tabell2[[#This Row],[NIBR11-T]]&gt;=L$436,0,100*(L$436-Tabell2[[#This Row],[NIBR11-T]])/L$439))</f>
        <v>80</v>
      </c>
      <c r="W126" s="7">
        <f>(M$436-Tabell2[[#This Row],[ReisetidOslo-T]])*100/M$439</f>
        <v>85.085191956140477</v>
      </c>
      <c r="X126" s="7">
        <f>100-(N$436-Tabell2[[#This Row],[Beftettland-T]])*100/N$439</f>
        <v>92.550401575626324</v>
      </c>
      <c r="Y126" s="7">
        <f>100-(O$436-Tabell2[[#This Row],[Beftettotal-T]])*100/O$439</f>
        <v>95.564583458029688</v>
      </c>
      <c r="Z126" s="7">
        <f>100-(P$436-Tabell2[[#This Row],[Befvekst10-T]])*100/P$439</f>
        <v>64.665412011446506</v>
      </c>
      <c r="AA126" s="7">
        <f>100-(Q$436-Tabell2[[#This Row],[Kvinneandel-T]])*100/Q$439</f>
        <v>25.88846423391449</v>
      </c>
      <c r="AB126" s="7">
        <f>(R$436-Tabell2[[#This Row],[Eldreandel-T]])*100/R$439</f>
        <v>47.168334841153396</v>
      </c>
      <c r="AC126" s="7">
        <f>100-(S$436-Tabell2[[#This Row],[Sysselsettingsvekst10-T]])*100/S$439</f>
        <v>55.442326416177032</v>
      </c>
      <c r="AD126" s="7">
        <f>100-(T$436-Tabell2[[#This Row],[Yrkesaktivandel-T]])*100/T$439</f>
        <v>0</v>
      </c>
      <c r="AE126" s="7">
        <f>100-(U$436-Tabell2[[#This Row],[Inntekt-T]])*100/U$439</f>
        <v>56.077192190497684</v>
      </c>
      <c r="AF126" s="7">
        <v>16</v>
      </c>
      <c r="AG126" s="7">
        <v>8.5085191956140473</v>
      </c>
      <c r="AH126" s="7">
        <v>9.5564583458029695</v>
      </c>
      <c r="AI126" s="7">
        <v>12.933082402289301</v>
      </c>
      <c r="AJ126" s="7">
        <v>1.2944232116957246</v>
      </c>
      <c r="AK126" s="7">
        <v>2.35841674205767</v>
      </c>
      <c r="AL126" s="7">
        <v>5.5442326416177039</v>
      </c>
      <c r="AM126" s="7">
        <v>0</v>
      </c>
      <c r="AN126" s="7">
        <v>5.6077192190497689</v>
      </c>
      <c r="AO12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61.80285175812719</v>
      </c>
    </row>
    <row r="127" spans="1:41" x14ac:dyDescent="0.3">
      <c r="A127" s="2" t="s">
        <v>124</v>
      </c>
      <c r="B127">
        <f>'Rådata-K'!N126</f>
        <v>4</v>
      </c>
      <c r="C127" s="7">
        <f>'Rådata-K'!M126</f>
        <v>66.566666666700002</v>
      </c>
      <c r="D127" s="24">
        <f>'Rådata-K'!O126</f>
        <v>9.1396061915844697</v>
      </c>
      <c r="E127" s="24">
        <f>'Rådata-K'!P126</f>
        <v>8.9092153120386044</v>
      </c>
      <c r="F127" s="24">
        <f>'Rådata-K'!Q126</f>
        <v>1.1860940695296529E-2</v>
      </c>
      <c r="G127" s="24">
        <f>'Rådata-K'!R126</f>
        <v>0.10064672594987874</v>
      </c>
      <c r="H127" s="24">
        <f>'Rådata-K'!S126</f>
        <v>0.1576394502829426</v>
      </c>
      <c r="I127" s="24">
        <f>'Rådata-K'!T126</f>
        <v>0.35435056746532156</v>
      </c>
      <c r="J127" s="24">
        <f>'Rådata-K'!U126</f>
        <v>0.84282772820864793</v>
      </c>
      <c r="K127" s="24">
        <f>'Rådata-K'!L126</f>
        <v>387800</v>
      </c>
      <c r="L127" s="24">
        <f>Tabell2[[#This Row],[NIBR11]]</f>
        <v>4</v>
      </c>
      <c r="M127" s="24">
        <f>IF(Tabell2[[#This Row],[ReisetidOslo]]&lt;=C$434,C$434,IF(Tabell2[[#This Row],[ReisetidOslo]]&gt;=C$435,C$435,Tabell2[[#This Row],[ReisetidOslo]]))</f>
        <v>66.566666666700002</v>
      </c>
      <c r="N127" s="24">
        <f>IF(Tabell2[[#This Row],[Beftettland]]&lt;=D$434,D$434,IF(Tabell2[[#This Row],[Beftettland]]&gt;=D$435,D$435,Tabell2[[#This Row],[Beftettland]]))</f>
        <v>9.1396061915844697</v>
      </c>
      <c r="O127" s="24">
        <f>IF(Tabell2[[#This Row],[Beftettotal]]&lt;=E$434,E$434,IF(Tabell2[[#This Row],[Beftettotal]]&gt;=E$435,E$435,Tabell2[[#This Row],[Beftettotal]]))</f>
        <v>8.9092153120386044</v>
      </c>
      <c r="P127" s="24">
        <f>IF(Tabell2[[#This Row],[Befvekst10]]&lt;=F$434,F$434,IF(Tabell2[[#This Row],[Befvekst10]]&gt;=F$435,F$435,Tabell2[[#This Row],[Befvekst10]]))</f>
        <v>1.1860940695296529E-2</v>
      </c>
      <c r="Q127" s="24">
        <f>IF(Tabell2[[#This Row],[Kvinneandel]]&lt;=G$434,G$434,IF(Tabell2[[#This Row],[Kvinneandel]]&gt;=G$435,G$435,Tabell2[[#This Row],[Kvinneandel]]))</f>
        <v>0.10064672594987874</v>
      </c>
      <c r="R127" s="24">
        <f>IF(Tabell2[[#This Row],[Eldreandel]]&lt;=H$434,H$434,IF(Tabell2[[#This Row],[Eldreandel]]&gt;=H$435,H$435,Tabell2[[#This Row],[Eldreandel]]))</f>
        <v>0.1576394502829426</v>
      </c>
      <c r="S127" s="24">
        <f>IF(Tabell2[[#This Row],[Sysselsettingsvekst10]]&lt;=I$434,I$434,IF(Tabell2[[#This Row],[Sysselsettingsvekst10]]&gt;=I$435,I$435,Tabell2[[#This Row],[Sysselsettingsvekst10]]))</f>
        <v>0.21384805931725109</v>
      </c>
      <c r="T127" s="24">
        <f>IF(Tabell2[[#This Row],[Yrkesaktivandel]]&lt;=J$434,J$434,IF(Tabell2[[#This Row],[Yrkesaktivandel]]&gt;=J$435,J$435,Tabell2[[#This Row],[Yrkesaktivandel]]))</f>
        <v>0.84282772820864793</v>
      </c>
      <c r="U127" s="24">
        <f>IF(Tabell2[[#This Row],[Inntekt]]&lt;=K$434,K$434,IF(Tabell2[[#This Row],[Inntekt]]&gt;=K$435,K$435,Tabell2[[#This Row],[Inntekt]]))</f>
        <v>387800</v>
      </c>
      <c r="V127" s="7">
        <f>IF(Tabell2[[#This Row],[NIBR11-T]]&lt;=L$437,100,IF(Tabell2[[#This Row],[NIBR11-T]]&gt;=L$436,0,100*(L$436-Tabell2[[#This Row],[NIBR11-T]])/L$439))</f>
        <v>70</v>
      </c>
      <c r="W127" s="7">
        <f>(M$436-Tabell2[[#This Row],[ReisetidOslo-T]])*100/M$439</f>
        <v>93.845703839108481</v>
      </c>
      <c r="X127" s="7">
        <f>100-(N$436-Tabell2[[#This Row],[Beftettland-T]])*100/N$439</f>
        <v>5.7231350715786533</v>
      </c>
      <c r="Y127" s="7">
        <f>100-(O$436-Tabell2[[#This Row],[Beftettotal-T]])*100/O$439</f>
        <v>5.8105605240924376</v>
      </c>
      <c r="Z127" s="7">
        <f>100-(P$436-Tabell2[[#This Row],[Befvekst10-T]])*100/P$439</f>
        <v>33.564325869694969</v>
      </c>
      <c r="AA127" s="7">
        <f>100-(Q$436-Tabell2[[#This Row],[Kvinneandel-T]])*100/Q$439</f>
        <v>29.225722779361178</v>
      </c>
      <c r="AB127" s="7">
        <f>(R$436-Tabell2[[#This Row],[Eldreandel-T]])*100/R$439</f>
        <v>67.657956954741536</v>
      </c>
      <c r="AC127" s="7">
        <f>100-(S$436-Tabell2[[#This Row],[Sysselsettingsvekst10-T]])*100/S$439</f>
        <v>100</v>
      </c>
      <c r="AD127" s="7">
        <f>100-(T$436-Tabell2[[#This Row],[Yrkesaktivandel-T]])*100/T$439</f>
        <v>30.993052352587725</v>
      </c>
      <c r="AE127" s="7">
        <f>100-(U$436-Tabell2[[#This Row],[Inntekt-T]])*100/U$439</f>
        <v>48.967385170973934</v>
      </c>
      <c r="AF127" s="7">
        <v>14</v>
      </c>
      <c r="AG127" s="7">
        <v>9.3845703839108481</v>
      </c>
      <c r="AH127" s="7">
        <v>0.58105605240924374</v>
      </c>
      <c r="AI127" s="7">
        <v>6.7128651739389937</v>
      </c>
      <c r="AJ127" s="7">
        <v>1.4612861389680589</v>
      </c>
      <c r="AK127" s="7">
        <v>3.3828978477370768</v>
      </c>
      <c r="AL127" s="7">
        <v>10</v>
      </c>
      <c r="AM127" s="7">
        <v>3.0993052352587727</v>
      </c>
      <c r="AN127" s="7">
        <v>4.8967385170973934</v>
      </c>
      <c r="AO12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53.518719349320392</v>
      </c>
    </row>
    <row r="128" spans="1:41" x14ac:dyDescent="0.3">
      <c r="A128" s="2" t="s">
        <v>125</v>
      </c>
      <c r="B128">
        <f>'Rådata-K'!N127</f>
        <v>4</v>
      </c>
      <c r="C128" s="7">
        <f>'Rådata-K'!M127</f>
        <v>111.43333333299999</v>
      </c>
      <c r="D128" s="24">
        <f>'Rådata-K'!O127</f>
        <v>223.64247061018844</v>
      </c>
      <c r="E128" s="24">
        <f>'Rådata-K'!P127</f>
        <v>219.42511900402781</v>
      </c>
      <c r="F128" s="24">
        <f>'Rådata-K'!Q127</f>
        <v>7.1684053651266844E-2</v>
      </c>
      <c r="G128" s="24">
        <f>'Rådata-K'!R127</f>
        <v>0.11839799749687109</v>
      </c>
      <c r="H128" s="24">
        <f>'Rådata-K'!S127</f>
        <v>0.1603949381170908</v>
      </c>
      <c r="I128" s="24">
        <f>'Rådata-K'!T127</f>
        <v>-2.3141452126120954E-2</v>
      </c>
      <c r="J128" s="24">
        <f>'Rådata-K'!U127</f>
        <v>0.782792331055429</v>
      </c>
      <c r="K128" s="24">
        <f>'Rådata-K'!L127</f>
        <v>394200</v>
      </c>
      <c r="L128" s="24">
        <f>Tabell2[[#This Row],[NIBR11]]</f>
        <v>4</v>
      </c>
      <c r="M128" s="24">
        <f>IF(Tabell2[[#This Row],[ReisetidOslo]]&lt;=C$434,C$434,IF(Tabell2[[#This Row],[ReisetidOslo]]&gt;=C$435,C$435,Tabell2[[#This Row],[ReisetidOslo]]))</f>
        <v>111.43333333299999</v>
      </c>
      <c r="N128" s="24">
        <f>IF(Tabell2[[#This Row],[Beftettland]]&lt;=D$434,D$434,IF(Tabell2[[#This Row],[Beftettland]]&gt;=D$435,D$435,Tabell2[[#This Row],[Beftettland]]))</f>
        <v>136.59179999736304</v>
      </c>
      <c r="O128" s="24">
        <f>IF(Tabell2[[#This Row],[Beftettotal]]&lt;=E$434,E$434,IF(Tabell2[[#This Row],[Beftettotal]]&gt;=E$435,E$435,Tabell2[[#This Row],[Beftettotal]]))</f>
        <v>131.96212083018065</v>
      </c>
      <c r="P128" s="24">
        <f>IF(Tabell2[[#This Row],[Befvekst10]]&lt;=F$434,F$434,IF(Tabell2[[#This Row],[Befvekst10]]&gt;=F$435,F$435,Tabell2[[#This Row],[Befvekst10]]))</f>
        <v>7.1684053651266844E-2</v>
      </c>
      <c r="Q128" s="24">
        <f>IF(Tabell2[[#This Row],[Kvinneandel]]&lt;=G$434,G$434,IF(Tabell2[[#This Row],[Kvinneandel]]&gt;=G$435,G$435,Tabell2[[#This Row],[Kvinneandel]]))</f>
        <v>0.11839799749687109</v>
      </c>
      <c r="R128" s="24">
        <f>IF(Tabell2[[#This Row],[Eldreandel]]&lt;=H$434,H$434,IF(Tabell2[[#This Row],[Eldreandel]]&gt;=H$435,H$435,Tabell2[[#This Row],[Eldreandel]]))</f>
        <v>0.1603949381170908</v>
      </c>
      <c r="S128" s="24">
        <f>IF(Tabell2[[#This Row],[Sysselsettingsvekst10]]&lt;=I$434,I$434,IF(Tabell2[[#This Row],[Sysselsettingsvekst10]]&gt;=I$435,I$435,Tabell2[[#This Row],[Sysselsettingsvekst10]]))</f>
        <v>-2.3141452126120954E-2</v>
      </c>
      <c r="T128" s="24">
        <f>IF(Tabell2[[#This Row],[Yrkesaktivandel]]&lt;=J$434,J$434,IF(Tabell2[[#This Row],[Yrkesaktivandel]]&gt;=J$435,J$435,Tabell2[[#This Row],[Yrkesaktivandel]]))</f>
        <v>0.79888426611272945</v>
      </c>
      <c r="U128" s="24">
        <f>IF(Tabell2[[#This Row],[Inntekt]]&lt;=K$434,K$434,IF(Tabell2[[#This Row],[Inntekt]]&gt;=K$435,K$435,Tabell2[[#This Row],[Inntekt]]))</f>
        <v>394200</v>
      </c>
      <c r="V128" s="7">
        <f>IF(Tabell2[[#This Row],[NIBR11-T]]&lt;=L$437,100,IF(Tabell2[[#This Row],[NIBR11-T]]&gt;=L$436,0,100*(L$436-Tabell2[[#This Row],[NIBR11-T]])/L$439))</f>
        <v>70</v>
      </c>
      <c r="W128" s="7">
        <f>(M$436-Tabell2[[#This Row],[ReisetidOslo-T]])*100/M$439</f>
        <v>74.160146252434075</v>
      </c>
      <c r="X128" s="7">
        <f>100-(N$436-Tabell2[[#This Row],[Beftettland-T]])*100/N$439</f>
        <v>100</v>
      </c>
      <c r="Y128" s="7">
        <f>100-(O$436-Tabell2[[#This Row],[Beftettotal-T]])*100/O$439</f>
        <v>100</v>
      </c>
      <c r="Z128" s="7">
        <f>100-(P$436-Tabell2[[#This Row],[Befvekst10-T]])*100/P$439</f>
        <v>57.778391987498871</v>
      </c>
      <c r="AA128" s="7">
        <f>100-(Q$436-Tabell2[[#This Row],[Kvinneandel-T]])*100/Q$439</f>
        <v>75.859258764411194</v>
      </c>
      <c r="AB128" s="7">
        <f>(R$436-Tabell2[[#This Row],[Eldreandel-T]])*100/R$439</f>
        <v>64.684083390122723</v>
      </c>
      <c r="AC128" s="7">
        <f>100-(S$436-Tabell2[[#This Row],[Sysselsettingsvekst10-T]])*100/S$439</f>
        <v>22.658164654911516</v>
      </c>
      <c r="AD128" s="7">
        <f>100-(T$436-Tabell2[[#This Row],[Yrkesaktivandel-T]])*100/T$439</f>
        <v>0</v>
      </c>
      <c r="AE128" s="7">
        <f>100-(U$436-Tabell2[[#This Row],[Inntekt-T]])*100/U$439</f>
        <v>56.190046270172665</v>
      </c>
      <c r="AF128" s="7">
        <v>14</v>
      </c>
      <c r="AG128" s="7">
        <v>7.4160146252434078</v>
      </c>
      <c r="AH128" s="7">
        <v>10</v>
      </c>
      <c r="AI128" s="7">
        <v>11.555678397499776</v>
      </c>
      <c r="AJ128" s="7">
        <v>3.7929629382205601</v>
      </c>
      <c r="AK128" s="7">
        <v>3.2342041695061363</v>
      </c>
      <c r="AL128" s="7">
        <v>2.2658164654911519</v>
      </c>
      <c r="AM128" s="7">
        <v>0</v>
      </c>
      <c r="AN128" s="7">
        <v>5.6190046270172669</v>
      </c>
      <c r="AO12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57.883681222978296</v>
      </c>
    </row>
    <row r="129" spans="1:41" x14ac:dyDescent="0.3">
      <c r="A129" s="2" t="s">
        <v>126</v>
      </c>
      <c r="B129">
        <f>'Rådata-K'!N128</f>
        <v>4</v>
      </c>
      <c r="C129" s="7">
        <f>'Rådata-K'!M128</f>
        <v>98.966666666699993</v>
      </c>
      <c r="D129" s="24">
        <f>'Rådata-K'!O128</f>
        <v>75.033377837116163</v>
      </c>
      <c r="E129" s="24">
        <f>'Rådata-K'!P128</f>
        <v>69.341696013160941</v>
      </c>
      <c r="F129" s="24">
        <f>'Rådata-K'!Q128</f>
        <v>6.2863221764740684E-2</v>
      </c>
      <c r="G129" s="24">
        <f>'Rådata-K'!R128</f>
        <v>0.11925415183867141</v>
      </c>
      <c r="H129" s="24">
        <f>'Rådata-K'!S128</f>
        <v>0.15802935943060498</v>
      </c>
      <c r="I129" s="24">
        <f>'Rådata-K'!T128</f>
        <v>6.3278097364128039E-2</v>
      </c>
      <c r="J129" s="24">
        <f>'Rådata-K'!U128</f>
        <v>0.79551367472555368</v>
      </c>
      <c r="K129" s="24">
        <f>'Rådata-K'!L128</f>
        <v>383200</v>
      </c>
      <c r="L129" s="24">
        <f>Tabell2[[#This Row],[NIBR11]]</f>
        <v>4</v>
      </c>
      <c r="M129" s="24">
        <f>IF(Tabell2[[#This Row],[ReisetidOslo]]&lt;=C$434,C$434,IF(Tabell2[[#This Row],[ReisetidOslo]]&gt;=C$435,C$435,Tabell2[[#This Row],[ReisetidOslo]]))</f>
        <v>98.966666666699993</v>
      </c>
      <c r="N129" s="24">
        <f>IF(Tabell2[[#This Row],[Beftettland]]&lt;=D$434,D$434,IF(Tabell2[[#This Row],[Beftettland]]&gt;=D$435,D$435,Tabell2[[#This Row],[Beftettland]]))</f>
        <v>75.033377837116163</v>
      </c>
      <c r="O129" s="24">
        <f>IF(Tabell2[[#This Row],[Beftettotal]]&lt;=E$434,E$434,IF(Tabell2[[#This Row],[Beftettotal]]&gt;=E$435,E$435,Tabell2[[#This Row],[Beftettotal]]))</f>
        <v>69.341696013160941</v>
      </c>
      <c r="P129" s="24">
        <f>IF(Tabell2[[#This Row],[Befvekst10]]&lt;=F$434,F$434,IF(Tabell2[[#This Row],[Befvekst10]]&gt;=F$435,F$435,Tabell2[[#This Row],[Befvekst10]]))</f>
        <v>6.2863221764740684E-2</v>
      </c>
      <c r="Q129" s="24">
        <f>IF(Tabell2[[#This Row],[Kvinneandel]]&lt;=G$434,G$434,IF(Tabell2[[#This Row],[Kvinneandel]]&gt;=G$435,G$435,Tabell2[[#This Row],[Kvinneandel]]))</f>
        <v>0.11925415183867141</v>
      </c>
      <c r="R129" s="24">
        <f>IF(Tabell2[[#This Row],[Eldreandel]]&lt;=H$434,H$434,IF(Tabell2[[#This Row],[Eldreandel]]&gt;=H$435,H$435,Tabell2[[#This Row],[Eldreandel]]))</f>
        <v>0.15802935943060498</v>
      </c>
      <c r="S129" s="24">
        <f>IF(Tabell2[[#This Row],[Sysselsettingsvekst10]]&lt;=I$434,I$434,IF(Tabell2[[#This Row],[Sysselsettingsvekst10]]&gt;=I$435,I$435,Tabell2[[#This Row],[Sysselsettingsvekst10]]))</f>
        <v>6.3278097364128039E-2</v>
      </c>
      <c r="T129" s="24">
        <f>IF(Tabell2[[#This Row],[Yrkesaktivandel]]&lt;=J$434,J$434,IF(Tabell2[[#This Row],[Yrkesaktivandel]]&gt;=J$435,J$435,Tabell2[[#This Row],[Yrkesaktivandel]]))</f>
        <v>0.79888426611272945</v>
      </c>
      <c r="U129" s="24">
        <f>IF(Tabell2[[#This Row],[Inntekt]]&lt;=K$434,K$434,IF(Tabell2[[#This Row],[Inntekt]]&gt;=K$435,K$435,Tabell2[[#This Row],[Inntekt]]))</f>
        <v>383200</v>
      </c>
      <c r="V129" s="7">
        <f>IF(Tabell2[[#This Row],[NIBR11-T]]&lt;=L$437,100,IF(Tabell2[[#This Row],[NIBR11-T]]&gt;=L$436,0,100*(L$436-Tabell2[[#This Row],[NIBR11-T]])/L$439))</f>
        <v>70</v>
      </c>
      <c r="W129" s="7">
        <f>(M$436-Tabell2[[#This Row],[ReisetidOslo-T]])*100/M$439</f>
        <v>79.629981718451802</v>
      </c>
      <c r="X129" s="7">
        <f>100-(N$436-Tabell2[[#This Row],[Beftettland-T]])*100/N$439</f>
        <v>54.46500465851372</v>
      </c>
      <c r="Y129" s="7">
        <f>100-(O$436-Tabell2[[#This Row],[Beftettotal-T]])*100/O$439</f>
        <v>52.067911859352947</v>
      </c>
      <c r="Z129" s="7">
        <f>100-(P$436-Tabell2[[#This Row],[Befvekst10-T]])*100/P$439</f>
        <v>54.208062795977568</v>
      </c>
      <c r="AA129" s="7">
        <f>100-(Q$436-Tabell2[[#This Row],[Kvinneandel-T]])*100/Q$439</f>
        <v>78.108421828668796</v>
      </c>
      <c r="AB129" s="7">
        <f>(R$436-Tabell2[[#This Row],[Eldreandel-T]])*100/R$439</f>
        <v>67.23714562236465</v>
      </c>
      <c r="AC129" s="7">
        <f>100-(S$436-Tabell2[[#This Row],[Sysselsettingsvekst10-T]])*100/S$439</f>
        <v>50.861297049100401</v>
      </c>
      <c r="AD129" s="7">
        <f>100-(T$436-Tabell2[[#This Row],[Yrkesaktivandel-T]])*100/T$439</f>
        <v>0</v>
      </c>
      <c r="AE129" s="7">
        <f>100-(U$436-Tabell2[[#This Row],[Inntekt-T]])*100/U$439</f>
        <v>43.776097505924838</v>
      </c>
      <c r="AF129" s="7">
        <v>14</v>
      </c>
      <c r="AG129" s="7">
        <v>7.9629981718451806</v>
      </c>
      <c r="AH129" s="7">
        <v>5.2067911859352947</v>
      </c>
      <c r="AI129" s="7">
        <v>10.841612559195514</v>
      </c>
      <c r="AJ129" s="7">
        <v>3.90542109143344</v>
      </c>
      <c r="AK129" s="7">
        <v>3.3618572811182328</v>
      </c>
      <c r="AL129" s="7">
        <v>5.0861297049100402</v>
      </c>
      <c r="AM129" s="7">
        <v>0</v>
      </c>
      <c r="AN129" s="7">
        <v>4.3776097505924838</v>
      </c>
      <c r="AO12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54.742419745030183</v>
      </c>
    </row>
    <row r="130" spans="1:41" x14ac:dyDescent="0.3">
      <c r="A130" s="2" t="s">
        <v>127</v>
      </c>
      <c r="B130">
        <f>'Rådata-K'!N129</f>
        <v>5</v>
      </c>
      <c r="C130" s="7">
        <f>'Rådata-K'!M129</f>
        <v>89.316666666700002</v>
      </c>
      <c r="D130" s="24">
        <f>'Rådata-K'!O129</f>
        <v>14.940084586466165</v>
      </c>
      <c r="E130" s="24">
        <f>'Rådata-K'!P129</f>
        <v>13.842988700933967</v>
      </c>
      <c r="F130" s="24">
        <f>'Rådata-K'!Q129</f>
        <v>3.2726977424070158E-2</v>
      </c>
      <c r="G130" s="24">
        <f>'Rådata-K'!R129</f>
        <v>0.11512149091766927</v>
      </c>
      <c r="H130" s="24">
        <f>'Rådata-K'!S129</f>
        <v>0.1774789651647401</v>
      </c>
      <c r="I130" s="24">
        <f>'Rådata-K'!T129</f>
        <v>-2.4032287653641515E-2</v>
      </c>
      <c r="J130" s="24">
        <f>'Rådata-K'!U129</f>
        <v>0.78278073407013238</v>
      </c>
      <c r="K130" s="24">
        <f>'Rådata-K'!L129</f>
        <v>373700</v>
      </c>
      <c r="L130" s="24">
        <f>Tabell2[[#This Row],[NIBR11]]</f>
        <v>5</v>
      </c>
      <c r="M130" s="24">
        <f>IF(Tabell2[[#This Row],[ReisetidOslo]]&lt;=C$434,C$434,IF(Tabell2[[#This Row],[ReisetidOslo]]&gt;=C$435,C$435,Tabell2[[#This Row],[ReisetidOslo]]))</f>
        <v>89.316666666700002</v>
      </c>
      <c r="N130" s="24">
        <f>IF(Tabell2[[#This Row],[Beftettland]]&lt;=D$434,D$434,IF(Tabell2[[#This Row],[Beftettland]]&gt;=D$435,D$435,Tabell2[[#This Row],[Beftettland]]))</f>
        <v>14.940084586466165</v>
      </c>
      <c r="O130" s="24">
        <f>IF(Tabell2[[#This Row],[Beftettotal]]&lt;=E$434,E$434,IF(Tabell2[[#This Row],[Beftettotal]]&gt;=E$435,E$435,Tabell2[[#This Row],[Beftettotal]]))</f>
        <v>13.842988700933967</v>
      </c>
      <c r="P130" s="24">
        <f>IF(Tabell2[[#This Row],[Befvekst10]]&lt;=F$434,F$434,IF(Tabell2[[#This Row],[Befvekst10]]&gt;=F$435,F$435,Tabell2[[#This Row],[Befvekst10]]))</f>
        <v>3.2726977424070158E-2</v>
      </c>
      <c r="Q130" s="24">
        <f>IF(Tabell2[[#This Row],[Kvinneandel]]&lt;=G$434,G$434,IF(Tabell2[[#This Row],[Kvinneandel]]&gt;=G$435,G$435,Tabell2[[#This Row],[Kvinneandel]]))</f>
        <v>0.11512149091766927</v>
      </c>
      <c r="R130" s="24">
        <f>IF(Tabell2[[#This Row],[Eldreandel]]&lt;=H$434,H$434,IF(Tabell2[[#This Row],[Eldreandel]]&gt;=H$435,H$435,Tabell2[[#This Row],[Eldreandel]]))</f>
        <v>0.1774789651647401</v>
      </c>
      <c r="S130" s="24">
        <f>IF(Tabell2[[#This Row],[Sysselsettingsvekst10]]&lt;=I$434,I$434,IF(Tabell2[[#This Row],[Sysselsettingsvekst10]]&gt;=I$435,I$435,Tabell2[[#This Row],[Sysselsettingsvekst10]]))</f>
        <v>-2.4032287653641515E-2</v>
      </c>
      <c r="T130" s="24">
        <f>IF(Tabell2[[#This Row],[Yrkesaktivandel]]&lt;=J$434,J$434,IF(Tabell2[[#This Row],[Yrkesaktivandel]]&gt;=J$435,J$435,Tabell2[[#This Row],[Yrkesaktivandel]]))</f>
        <v>0.79888426611272945</v>
      </c>
      <c r="U130" s="24">
        <f>IF(Tabell2[[#This Row],[Inntekt]]&lt;=K$434,K$434,IF(Tabell2[[#This Row],[Inntekt]]&gt;=K$435,K$435,Tabell2[[#This Row],[Inntekt]]))</f>
        <v>373700</v>
      </c>
      <c r="V130" s="7">
        <f>IF(Tabell2[[#This Row],[NIBR11-T]]&lt;=L$437,100,IF(Tabell2[[#This Row],[NIBR11-T]]&gt;=L$436,0,100*(L$436-Tabell2[[#This Row],[NIBR11-T]])/L$439))</f>
        <v>60</v>
      </c>
      <c r="W130" s="7">
        <f>(M$436-Tabell2[[#This Row],[ReisetidOslo-T]])*100/M$439</f>
        <v>83.863985374758499</v>
      </c>
      <c r="X130" s="7">
        <f>100-(N$436-Tabell2[[#This Row],[Beftettland-T]])*100/N$439</f>
        <v>10.013770656775577</v>
      </c>
      <c r="Y130" s="7">
        <f>100-(O$436-Tabell2[[#This Row],[Beftettotal-T]])*100/O$439</f>
        <v>9.5870609492098993</v>
      </c>
      <c r="Z130" s="7">
        <f>100-(P$436-Tabell2[[#This Row],[Befvekst10-T]])*100/P$439</f>
        <v>42.010084841464185</v>
      </c>
      <c r="AA130" s="7">
        <f>100-(Q$436-Tabell2[[#This Row],[Kvinneandel-T]])*100/Q$439</f>
        <v>67.251701437491135</v>
      </c>
      <c r="AB130" s="7">
        <f>(R$436-Tabell2[[#This Row],[Eldreandel-T]])*100/R$439</f>
        <v>46.246064617326141</v>
      </c>
      <c r="AC130" s="7">
        <f>100-(S$436-Tabell2[[#This Row],[Sysselsettingsvekst10-T]])*100/S$439</f>
        <v>22.36743932167029</v>
      </c>
      <c r="AD130" s="7">
        <f>100-(T$436-Tabell2[[#This Row],[Yrkesaktivandel-T]])*100/T$439</f>
        <v>0</v>
      </c>
      <c r="AE130" s="7">
        <f>100-(U$436-Tabell2[[#This Row],[Inntekt-T]])*100/U$439</f>
        <v>33.054959936801708</v>
      </c>
      <c r="AF130" s="7">
        <v>12</v>
      </c>
      <c r="AG130" s="7">
        <v>8.3863985374758503</v>
      </c>
      <c r="AH130" s="7">
        <v>0.95870609492099002</v>
      </c>
      <c r="AI130" s="7">
        <v>8.4020169682928376</v>
      </c>
      <c r="AJ130" s="7">
        <v>3.3625850718745571</v>
      </c>
      <c r="AK130" s="7">
        <v>2.312303230866307</v>
      </c>
      <c r="AL130" s="7">
        <v>2.236743932167029</v>
      </c>
      <c r="AM130" s="7">
        <v>0</v>
      </c>
      <c r="AN130" s="7">
        <v>3.3054959936801711</v>
      </c>
      <c r="AO13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40.96424982927774</v>
      </c>
    </row>
    <row r="131" spans="1:41" x14ac:dyDescent="0.3">
      <c r="A131" s="2" t="s">
        <v>128</v>
      </c>
      <c r="B131">
        <f>'Rådata-K'!N130</f>
        <v>4</v>
      </c>
      <c r="C131" s="7">
        <f>'Rådata-K'!M130</f>
        <v>86.066666666700002</v>
      </c>
      <c r="D131" s="24">
        <f>'Rådata-K'!O130</f>
        <v>11.547972304648864</v>
      </c>
      <c r="E131" s="24">
        <f>'Rådata-K'!P130</f>
        <v>10.913254813983924</v>
      </c>
      <c r="F131" s="24">
        <f>'Rådata-K'!Q130</f>
        <v>-1.1430990685859399E-2</v>
      </c>
      <c r="G131" s="24">
        <f>'Rådata-K'!R130</f>
        <v>0.11563169164882227</v>
      </c>
      <c r="H131" s="24">
        <f>'Rådata-K'!S130</f>
        <v>0.16402569593147751</v>
      </c>
      <c r="I131" s="24">
        <f>'Rådata-K'!T130</f>
        <v>4.5064377682403345E-2</v>
      </c>
      <c r="J131" s="24">
        <f>'Rådata-K'!U130</f>
        <v>0.89274924471299089</v>
      </c>
      <c r="K131" s="24">
        <f>'Rådata-K'!L130</f>
        <v>374200</v>
      </c>
      <c r="L131" s="24">
        <f>Tabell2[[#This Row],[NIBR11]]</f>
        <v>4</v>
      </c>
      <c r="M131" s="24">
        <f>IF(Tabell2[[#This Row],[ReisetidOslo]]&lt;=C$434,C$434,IF(Tabell2[[#This Row],[ReisetidOslo]]&gt;=C$435,C$435,Tabell2[[#This Row],[ReisetidOslo]]))</f>
        <v>86.066666666700002</v>
      </c>
      <c r="N131" s="24">
        <f>IF(Tabell2[[#This Row],[Beftettland]]&lt;=D$434,D$434,IF(Tabell2[[#This Row],[Beftettland]]&gt;=D$435,D$435,Tabell2[[#This Row],[Beftettland]]))</f>
        <v>11.547972304648864</v>
      </c>
      <c r="O131" s="24">
        <f>IF(Tabell2[[#This Row],[Beftettotal]]&lt;=E$434,E$434,IF(Tabell2[[#This Row],[Beftettotal]]&gt;=E$435,E$435,Tabell2[[#This Row],[Beftettotal]]))</f>
        <v>10.913254813983924</v>
      </c>
      <c r="P131" s="24">
        <f>IF(Tabell2[[#This Row],[Befvekst10]]&lt;=F$434,F$434,IF(Tabell2[[#This Row],[Befvekst10]]&gt;=F$435,F$435,Tabell2[[#This Row],[Befvekst10]]))</f>
        <v>-1.1430990685859399E-2</v>
      </c>
      <c r="Q131" s="24">
        <f>IF(Tabell2[[#This Row],[Kvinneandel]]&lt;=G$434,G$434,IF(Tabell2[[#This Row],[Kvinneandel]]&gt;=G$435,G$435,Tabell2[[#This Row],[Kvinneandel]]))</f>
        <v>0.11563169164882227</v>
      </c>
      <c r="R131" s="24">
        <f>IF(Tabell2[[#This Row],[Eldreandel]]&lt;=H$434,H$434,IF(Tabell2[[#This Row],[Eldreandel]]&gt;=H$435,H$435,Tabell2[[#This Row],[Eldreandel]]))</f>
        <v>0.16402569593147751</v>
      </c>
      <c r="S131" s="24">
        <f>IF(Tabell2[[#This Row],[Sysselsettingsvekst10]]&lt;=I$434,I$434,IF(Tabell2[[#This Row],[Sysselsettingsvekst10]]&gt;=I$435,I$435,Tabell2[[#This Row],[Sysselsettingsvekst10]]))</f>
        <v>4.5064377682403345E-2</v>
      </c>
      <c r="T131" s="24">
        <f>IF(Tabell2[[#This Row],[Yrkesaktivandel]]&lt;=J$434,J$434,IF(Tabell2[[#This Row],[Yrkesaktivandel]]&gt;=J$435,J$435,Tabell2[[#This Row],[Yrkesaktivandel]]))</f>
        <v>0.89274924471299089</v>
      </c>
      <c r="U131" s="24">
        <f>IF(Tabell2[[#This Row],[Inntekt]]&lt;=K$434,K$434,IF(Tabell2[[#This Row],[Inntekt]]&gt;=K$435,K$435,Tabell2[[#This Row],[Inntekt]]))</f>
        <v>374200</v>
      </c>
      <c r="V131" s="7">
        <f>IF(Tabell2[[#This Row],[NIBR11-T]]&lt;=L$437,100,IF(Tabell2[[#This Row],[NIBR11-T]]&gt;=L$436,0,100*(L$436-Tabell2[[#This Row],[NIBR11-T]])/L$439))</f>
        <v>70</v>
      </c>
      <c r="W131" s="7">
        <f>(M$436-Tabell2[[#This Row],[ReisetidOslo-T]])*100/M$439</f>
        <v>85.289945155379925</v>
      </c>
      <c r="X131" s="7">
        <f>100-(N$436-Tabell2[[#This Row],[Beftettland-T]])*100/N$439</f>
        <v>7.5046125021324315</v>
      </c>
      <c r="Y131" s="7">
        <f>100-(O$436-Tabell2[[#This Row],[Beftettotal-T]])*100/O$439</f>
        <v>7.3445296455933828</v>
      </c>
      <c r="Z131" s="7">
        <f>100-(P$436-Tabell2[[#This Row],[Befvekst10-T]])*100/P$439</f>
        <v>24.136659227042017</v>
      </c>
      <c r="AA131" s="7">
        <f>100-(Q$436-Tabell2[[#This Row],[Kvinneandel-T]])*100/Q$439</f>
        <v>68.592025937222743</v>
      </c>
      <c r="AB131" s="7">
        <f>(R$436-Tabell2[[#This Row],[Eldreandel-T]])*100/R$439</f>
        <v>60.765570468407859</v>
      </c>
      <c r="AC131" s="7">
        <f>100-(S$436-Tabell2[[#This Row],[Sysselsettingsvekst10-T]])*100/S$439</f>
        <v>44.917225937826139</v>
      </c>
      <c r="AD131" s="7">
        <f>100-(T$436-Tabell2[[#This Row],[Yrkesaktivandel-T]])*100/T$439</f>
        <v>66.202389549608</v>
      </c>
      <c r="AE131" s="7">
        <f>100-(U$436-Tabell2[[#This Row],[Inntekt-T]])*100/U$439</f>
        <v>33.61923033517661</v>
      </c>
      <c r="AF131" s="7">
        <v>14</v>
      </c>
      <c r="AG131" s="7">
        <v>8.5289945155379936</v>
      </c>
      <c r="AH131" s="7">
        <v>0.73445296455933828</v>
      </c>
      <c r="AI131" s="7">
        <v>4.8273318454084038</v>
      </c>
      <c r="AJ131" s="7">
        <v>3.4296012968611373</v>
      </c>
      <c r="AK131" s="7">
        <v>3.0382785234203933</v>
      </c>
      <c r="AL131" s="7">
        <v>4.4917225937826144</v>
      </c>
      <c r="AM131" s="7">
        <v>6.6202389549608007</v>
      </c>
      <c r="AN131" s="7">
        <v>3.3619230335176611</v>
      </c>
      <c r="AO13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49.032543728048346</v>
      </c>
    </row>
    <row r="132" spans="1:41" x14ac:dyDescent="0.3">
      <c r="A132" s="2" t="s">
        <v>129</v>
      </c>
      <c r="B132">
        <f>'Rådata-K'!N131</f>
        <v>4</v>
      </c>
      <c r="C132" s="7">
        <f>'Rådata-K'!M131</f>
        <v>109.616666667</v>
      </c>
      <c r="D132" s="24">
        <f>'Rådata-K'!O131</f>
        <v>49.891985692531073</v>
      </c>
      <c r="E132" s="24">
        <f>'Rådata-K'!P131</f>
        <v>46.287291365488237</v>
      </c>
      <c r="F132" s="24">
        <f>'Rådata-K'!Q131</f>
        <v>-1.1344299489506326E-3</v>
      </c>
      <c r="G132" s="24">
        <f>'Rådata-K'!R131</f>
        <v>0.10775127768313458</v>
      </c>
      <c r="H132" s="24">
        <f>'Rådata-K'!S131</f>
        <v>0.16616978989210676</v>
      </c>
      <c r="I132" s="24">
        <f>'Rådata-K'!T131</f>
        <v>-0.1013323325201726</v>
      </c>
      <c r="J132" s="24">
        <f>'Rådata-K'!U131</f>
        <v>0.8066781665845244</v>
      </c>
      <c r="K132" s="24">
        <f>'Rådata-K'!L131</f>
        <v>401100</v>
      </c>
      <c r="L132" s="24">
        <f>Tabell2[[#This Row],[NIBR11]]</f>
        <v>4</v>
      </c>
      <c r="M132" s="24">
        <f>IF(Tabell2[[#This Row],[ReisetidOslo]]&lt;=C$434,C$434,IF(Tabell2[[#This Row],[ReisetidOslo]]&gt;=C$435,C$435,Tabell2[[#This Row],[ReisetidOslo]]))</f>
        <v>109.616666667</v>
      </c>
      <c r="N132" s="24">
        <f>IF(Tabell2[[#This Row],[Beftettland]]&lt;=D$434,D$434,IF(Tabell2[[#This Row],[Beftettland]]&gt;=D$435,D$435,Tabell2[[#This Row],[Beftettland]]))</f>
        <v>49.891985692531073</v>
      </c>
      <c r="O132" s="24">
        <f>IF(Tabell2[[#This Row],[Beftettotal]]&lt;=E$434,E$434,IF(Tabell2[[#This Row],[Beftettotal]]&gt;=E$435,E$435,Tabell2[[#This Row],[Beftettotal]]))</f>
        <v>46.287291365488237</v>
      </c>
      <c r="P132" s="24">
        <f>IF(Tabell2[[#This Row],[Befvekst10]]&lt;=F$434,F$434,IF(Tabell2[[#This Row],[Befvekst10]]&gt;=F$435,F$435,Tabell2[[#This Row],[Befvekst10]]))</f>
        <v>-1.1344299489506326E-3</v>
      </c>
      <c r="Q132" s="24">
        <f>IF(Tabell2[[#This Row],[Kvinneandel]]&lt;=G$434,G$434,IF(Tabell2[[#This Row],[Kvinneandel]]&gt;=G$435,G$435,Tabell2[[#This Row],[Kvinneandel]]))</f>
        <v>0.10775127768313458</v>
      </c>
      <c r="R132" s="24">
        <f>IF(Tabell2[[#This Row],[Eldreandel]]&lt;=H$434,H$434,IF(Tabell2[[#This Row],[Eldreandel]]&gt;=H$435,H$435,Tabell2[[#This Row],[Eldreandel]]))</f>
        <v>0.16616978989210676</v>
      </c>
      <c r="S132" s="24">
        <f>IF(Tabell2[[#This Row],[Sysselsettingsvekst10]]&lt;=I$434,I$434,IF(Tabell2[[#This Row],[Sysselsettingsvekst10]]&gt;=I$435,I$435,Tabell2[[#This Row],[Sysselsettingsvekst10]]))</f>
        <v>-9.2570207570207563E-2</v>
      </c>
      <c r="T132" s="24">
        <f>IF(Tabell2[[#This Row],[Yrkesaktivandel]]&lt;=J$434,J$434,IF(Tabell2[[#This Row],[Yrkesaktivandel]]&gt;=J$435,J$435,Tabell2[[#This Row],[Yrkesaktivandel]]))</f>
        <v>0.8066781665845244</v>
      </c>
      <c r="U132" s="24">
        <f>IF(Tabell2[[#This Row],[Inntekt]]&lt;=K$434,K$434,IF(Tabell2[[#This Row],[Inntekt]]&gt;=K$435,K$435,Tabell2[[#This Row],[Inntekt]]))</f>
        <v>401100</v>
      </c>
      <c r="V132" s="7">
        <f>IF(Tabell2[[#This Row],[NIBR11-T]]&lt;=L$437,100,IF(Tabell2[[#This Row],[NIBR11-T]]&gt;=L$436,0,100*(L$436-Tabell2[[#This Row],[NIBR11-T]])/L$439))</f>
        <v>70</v>
      </c>
      <c r="W132" s="7">
        <f>(M$436-Tabell2[[#This Row],[ReisetidOslo-T]])*100/M$439</f>
        <v>74.957221206437666</v>
      </c>
      <c r="X132" s="7">
        <f>100-(N$436-Tabell2[[#This Row],[Beftettland-T]])*100/N$439</f>
        <v>35.867822761907902</v>
      </c>
      <c r="Y132" s="7">
        <f>100-(O$436-Tabell2[[#This Row],[Beftettotal-T]])*100/O$439</f>
        <v>34.421181438226057</v>
      </c>
      <c r="Z132" s="7">
        <f>100-(P$436-Tabell2[[#This Row],[Befvekst10-T]])*100/P$439</f>
        <v>28.304305980112076</v>
      </c>
      <c r="AA132" s="7">
        <f>100-(Q$436-Tabell2[[#This Row],[Kvinneandel-T]])*100/Q$439</f>
        <v>47.889758650446183</v>
      </c>
      <c r="AB132" s="7">
        <f>(R$436-Tabell2[[#This Row],[Eldreandel-T]])*100/R$439</f>
        <v>58.451546697170528</v>
      </c>
      <c r="AC132" s="7">
        <f>100-(S$436-Tabell2[[#This Row],[Sysselsettingsvekst10-T]])*100/S$439</f>
        <v>0</v>
      </c>
      <c r="AD132" s="7">
        <f>100-(T$436-Tabell2[[#This Row],[Yrkesaktivandel-T]])*100/T$439</f>
        <v>5.4969898554177803</v>
      </c>
      <c r="AE132" s="7">
        <f>100-(U$436-Tabell2[[#This Row],[Inntekt-T]])*100/U$439</f>
        <v>63.976977767746305</v>
      </c>
      <c r="AF132" s="7">
        <v>14</v>
      </c>
      <c r="AG132" s="7">
        <v>7.4957221206437668</v>
      </c>
      <c r="AH132" s="7">
        <v>3.4421181438226061</v>
      </c>
      <c r="AI132" s="7">
        <v>5.6608611960224158</v>
      </c>
      <c r="AJ132" s="7">
        <v>2.3944879325223094</v>
      </c>
      <c r="AK132" s="7">
        <v>2.9225773348585267</v>
      </c>
      <c r="AL132" s="7">
        <v>0</v>
      </c>
      <c r="AM132" s="7">
        <v>0.5496989855417781</v>
      </c>
      <c r="AN132" s="7">
        <v>6.3976977767746313</v>
      </c>
      <c r="AO13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42.863163490186039</v>
      </c>
    </row>
    <row r="133" spans="1:41" x14ac:dyDescent="0.3">
      <c r="A133" s="2" t="s">
        <v>130</v>
      </c>
      <c r="B133">
        <f>'Rådata-K'!N132</f>
        <v>4</v>
      </c>
      <c r="C133" s="7">
        <f>'Rådata-K'!M132</f>
        <v>132.883333333</v>
      </c>
      <c r="D133" s="24">
        <f>'Rådata-K'!O132</f>
        <v>36.749471641894466</v>
      </c>
      <c r="E133" s="24">
        <f>'Rådata-K'!P132</f>
        <v>34.74287585981002</v>
      </c>
      <c r="F133" s="24">
        <f>'Rådata-K'!Q132</f>
        <v>1.2408132098883362E-2</v>
      </c>
      <c r="G133" s="24">
        <f>'Rådata-K'!R132</f>
        <v>0.10078250212124069</v>
      </c>
      <c r="H133" s="24">
        <f>'Rådata-K'!S132</f>
        <v>0.19242009993400586</v>
      </c>
      <c r="I133" s="24">
        <f>'Rådata-K'!T132</f>
        <v>-4.0489642184557417E-2</v>
      </c>
      <c r="J133" s="24">
        <f>'Rådata-K'!U132</f>
        <v>0.77626948215183511</v>
      </c>
      <c r="K133" s="24">
        <f>'Rådata-K'!L132</f>
        <v>362200</v>
      </c>
      <c r="L133" s="24">
        <f>Tabell2[[#This Row],[NIBR11]]</f>
        <v>4</v>
      </c>
      <c r="M133" s="24">
        <f>IF(Tabell2[[#This Row],[ReisetidOslo]]&lt;=C$434,C$434,IF(Tabell2[[#This Row],[ReisetidOslo]]&gt;=C$435,C$435,Tabell2[[#This Row],[ReisetidOslo]]))</f>
        <v>132.883333333</v>
      </c>
      <c r="N133" s="24">
        <f>IF(Tabell2[[#This Row],[Beftettland]]&lt;=D$434,D$434,IF(Tabell2[[#This Row],[Beftettland]]&gt;=D$435,D$435,Tabell2[[#This Row],[Beftettland]]))</f>
        <v>36.749471641894466</v>
      </c>
      <c r="O133" s="24">
        <f>IF(Tabell2[[#This Row],[Beftettotal]]&lt;=E$434,E$434,IF(Tabell2[[#This Row],[Beftettotal]]&gt;=E$435,E$435,Tabell2[[#This Row],[Beftettotal]]))</f>
        <v>34.74287585981002</v>
      </c>
      <c r="P133" s="24">
        <f>IF(Tabell2[[#This Row],[Befvekst10]]&lt;=F$434,F$434,IF(Tabell2[[#This Row],[Befvekst10]]&gt;=F$435,F$435,Tabell2[[#This Row],[Befvekst10]]))</f>
        <v>1.2408132098883362E-2</v>
      </c>
      <c r="Q133" s="24">
        <f>IF(Tabell2[[#This Row],[Kvinneandel]]&lt;=G$434,G$434,IF(Tabell2[[#This Row],[Kvinneandel]]&gt;=G$435,G$435,Tabell2[[#This Row],[Kvinneandel]]))</f>
        <v>0.10078250212124069</v>
      </c>
      <c r="R133" s="24">
        <f>IF(Tabell2[[#This Row],[Eldreandel]]&lt;=H$434,H$434,IF(Tabell2[[#This Row],[Eldreandel]]&gt;=H$435,H$435,Tabell2[[#This Row],[Eldreandel]]))</f>
        <v>0.19242009993400586</v>
      </c>
      <c r="S133" s="24">
        <f>IF(Tabell2[[#This Row],[Sysselsettingsvekst10]]&lt;=I$434,I$434,IF(Tabell2[[#This Row],[Sysselsettingsvekst10]]&gt;=I$435,I$435,Tabell2[[#This Row],[Sysselsettingsvekst10]]))</f>
        <v>-4.0489642184557417E-2</v>
      </c>
      <c r="T133" s="24">
        <f>IF(Tabell2[[#This Row],[Yrkesaktivandel]]&lt;=J$434,J$434,IF(Tabell2[[#This Row],[Yrkesaktivandel]]&gt;=J$435,J$435,Tabell2[[#This Row],[Yrkesaktivandel]]))</f>
        <v>0.79888426611272945</v>
      </c>
      <c r="U133" s="24">
        <f>IF(Tabell2[[#This Row],[Inntekt]]&lt;=K$434,K$434,IF(Tabell2[[#This Row],[Inntekt]]&gt;=K$435,K$435,Tabell2[[#This Row],[Inntekt]]))</f>
        <v>362200</v>
      </c>
      <c r="V133" s="7">
        <f>IF(Tabell2[[#This Row],[NIBR11-T]]&lt;=L$437,100,IF(Tabell2[[#This Row],[NIBR11-T]]&gt;=L$436,0,100*(L$436-Tabell2[[#This Row],[NIBR11-T]])/L$439))</f>
        <v>70</v>
      </c>
      <c r="W133" s="7">
        <f>(M$436-Tabell2[[#This Row],[ReisetidOslo-T]])*100/M$439</f>
        <v>64.748811700332681</v>
      </c>
      <c r="X133" s="7">
        <f>100-(N$436-Tabell2[[#This Row],[Beftettland-T]])*100/N$439</f>
        <v>26.146255914185502</v>
      </c>
      <c r="Y133" s="7">
        <f>100-(O$436-Tabell2[[#This Row],[Beftettotal-T]])*100/O$439</f>
        <v>25.584640594446526</v>
      </c>
      <c r="Z133" s="7">
        <f>100-(P$436-Tabell2[[#This Row],[Befvekst10-T]])*100/P$439</f>
        <v>33.785807637708245</v>
      </c>
      <c r="AA133" s="7">
        <f>100-(Q$436-Tabell2[[#This Row],[Kvinneandel-T]])*100/Q$439</f>
        <v>29.582414014485281</v>
      </c>
      <c r="AB133" s="7">
        <f>(R$436-Tabell2[[#This Row],[Eldreandel-T]])*100/R$439</f>
        <v>30.120772694394446</v>
      </c>
      <c r="AC133" s="7">
        <f>100-(S$436-Tabell2[[#This Row],[Sysselsettingsvekst10-T]])*100/S$439</f>
        <v>16.99656026211332</v>
      </c>
      <c r="AD133" s="7">
        <f>100-(T$436-Tabell2[[#This Row],[Yrkesaktivandel-T]])*100/T$439</f>
        <v>0</v>
      </c>
      <c r="AE133" s="7">
        <f>100-(U$436-Tabell2[[#This Row],[Inntekt-T]])*100/U$439</f>
        <v>20.076740774178987</v>
      </c>
      <c r="AF133" s="7">
        <v>14</v>
      </c>
      <c r="AG133" s="7">
        <v>6.4748811700332682</v>
      </c>
      <c r="AH133" s="7">
        <v>2.5584640594446526</v>
      </c>
      <c r="AI133" s="7">
        <v>6.7571615275416494</v>
      </c>
      <c r="AJ133" s="7">
        <v>1.4791207007242642</v>
      </c>
      <c r="AK133" s="7">
        <v>1.5060386347197223</v>
      </c>
      <c r="AL133" s="7">
        <v>1.699656026211332</v>
      </c>
      <c r="AM133" s="7">
        <v>0</v>
      </c>
      <c r="AN133" s="7">
        <v>2.0076740774178989</v>
      </c>
      <c r="AO13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36.482996196092778</v>
      </c>
    </row>
    <row r="134" spans="1:41" x14ac:dyDescent="0.3">
      <c r="A134" s="2" t="s">
        <v>131</v>
      </c>
      <c r="B134">
        <f>'Rådata-K'!N133</f>
        <v>4</v>
      </c>
      <c r="C134" s="7">
        <f>'Rådata-K'!M133</f>
        <v>140.85</v>
      </c>
      <c r="D134" s="24">
        <f>'Rådata-K'!O133</f>
        <v>4.1555727476413908</v>
      </c>
      <c r="E134" s="24">
        <f>'Rådata-K'!P133</f>
        <v>3.8916803101300363</v>
      </c>
      <c r="F134" s="24">
        <f>'Rådata-K'!Q133</f>
        <v>-6.4857074225318501E-3</v>
      </c>
      <c r="G134" s="24">
        <f>'Rådata-K'!R133</f>
        <v>0.10106382978723404</v>
      </c>
      <c r="H134" s="24">
        <f>'Rådata-K'!S133</f>
        <v>0.18713733075435204</v>
      </c>
      <c r="I134" s="24">
        <f>'Rådata-K'!T133</f>
        <v>8.1687612208258598E-2</v>
      </c>
      <c r="J134" s="24">
        <f>'Rådata-K'!U133</f>
        <v>0.83173496076721887</v>
      </c>
      <c r="K134" s="24">
        <f>'Rådata-K'!L133</f>
        <v>352100</v>
      </c>
      <c r="L134" s="24">
        <f>Tabell2[[#This Row],[NIBR11]]</f>
        <v>4</v>
      </c>
      <c r="M134" s="24">
        <f>IF(Tabell2[[#This Row],[ReisetidOslo]]&lt;=C$434,C$434,IF(Tabell2[[#This Row],[ReisetidOslo]]&gt;=C$435,C$435,Tabell2[[#This Row],[ReisetidOslo]]))</f>
        <v>140.85</v>
      </c>
      <c r="N134" s="24">
        <f>IF(Tabell2[[#This Row],[Beftettland]]&lt;=D$434,D$434,IF(Tabell2[[#This Row],[Beftettland]]&gt;=D$435,D$435,Tabell2[[#This Row],[Beftettland]]))</f>
        <v>4.1555727476413908</v>
      </c>
      <c r="O134" s="24">
        <f>IF(Tabell2[[#This Row],[Beftettotal]]&lt;=E$434,E$434,IF(Tabell2[[#This Row],[Beftettotal]]&gt;=E$435,E$435,Tabell2[[#This Row],[Beftettotal]]))</f>
        <v>3.8916803101300363</v>
      </c>
      <c r="P134" s="24">
        <f>IF(Tabell2[[#This Row],[Befvekst10]]&lt;=F$434,F$434,IF(Tabell2[[#This Row],[Befvekst10]]&gt;=F$435,F$435,Tabell2[[#This Row],[Befvekst10]]))</f>
        <v>-6.4857074225318501E-3</v>
      </c>
      <c r="Q134" s="24">
        <f>IF(Tabell2[[#This Row],[Kvinneandel]]&lt;=G$434,G$434,IF(Tabell2[[#This Row],[Kvinneandel]]&gt;=G$435,G$435,Tabell2[[#This Row],[Kvinneandel]]))</f>
        <v>0.10106382978723404</v>
      </c>
      <c r="R134" s="24">
        <f>IF(Tabell2[[#This Row],[Eldreandel]]&lt;=H$434,H$434,IF(Tabell2[[#This Row],[Eldreandel]]&gt;=H$435,H$435,Tabell2[[#This Row],[Eldreandel]]))</f>
        <v>0.18713733075435204</v>
      </c>
      <c r="S134" s="24">
        <f>IF(Tabell2[[#This Row],[Sysselsettingsvekst10]]&lt;=I$434,I$434,IF(Tabell2[[#This Row],[Sysselsettingsvekst10]]&gt;=I$435,I$435,Tabell2[[#This Row],[Sysselsettingsvekst10]]))</f>
        <v>8.1687612208258598E-2</v>
      </c>
      <c r="T134" s="24">
        <f>IF(Tabell2[[#This Row],[Yrkesaktivandel]]&lt;=J$434,J$434,IF(Tabell2[[#This Row],[Yrkesaktivandel]]&gt;=J$435,J$435,Tabell2[[#This Row],[Yrkesaktivandel]]))</f>
        <v>0.83173496076721887</v>
      </c>
      <c r="U134" s="24">
        <f>IF(Tabell2[[#This Row],[Inntekt]]&lt;=K$434,K$434,IF(Tabell2[[#This Row],[Inntekt]]&gt;=K$435,K$435,Tabell2[[#This Row],[Inntekt]]))</f>
        <v>352100</v>
      </c>
      <c r="V134" s="7">
        <f>IF(Tabell2[[#This Row],[NIBR11-T]]&lt;=L$437,100,IF(Tabell2[[#This Row],[NIBR11-T]]&gt;=L$436,0,100*(L$436-Tabell2[[#This Row],[NIBR11-T]])/L$439))</f>
        <v>70</v>
      </c>
      <c r="W134" s="7">
        <f>(M$436-Tabell2[[#This Row],[ReisetidOslo-T]])*100/M$439</f>
        <v>61.25338208409903</v>
      </c>
      <c r="X134" s="7">
        <f>100-(N$436-Tabell2[[#This Row],[Beftettland-T]])*100/N$439</f>
        <v>2.0364268732922284</v>
      </c>
      <c r="Y134" s="7">
        <f>100-(O$436-Tabell2[[#This Row],[Beftettotal-T]])*100/O$439</f>
        <v>1.9699457300692274</v>
      </c>
      <c r="Z134" s="7">
        <f>100-(P$436-Tabell2[[#This Row],[Befvekst10-T]])*100/P$439</f>
        <v>26.138317281807829</v>
      </c>
      <c r="AA134" s="7">
        <f>100-(Q$436-Tabell2[[#This Row],[Kvinneandel-T]])*100/Q$439</f>
        <v>30.32147677970525</v>
      </c>
      <c r="AB134" s="7">
        <f>(R$436-Tabell2[[#This Row],[Eldreandel-T]])*100/R$439</f>
        <v>35.822226867648673</v>
      </c>
      <c r="AC134" s="7">
        <f>100-(S$436-Tabell2[[#This Row],[Sysselsettingsvekst10-T]])*100/S$439</f>
        <v>56.869266166324088</v>
      </c>
      <c r="AD134" s="7">
        <f>100-(T$436-Tabell2[[#This Row],[Yrkesaktivandel-T]])*100/T$439</f>
        <v>23.169392002457414</v>
      </c>
      <c r="AE134" s="7">
        <f>100-(U$436-Tabell2[[#This Row],[Inntekt-T]])*100/U$439</f>
        <v>8.6784787270059809</v>
      </c>
      <c r="AF134" s="7">
        <v>14</v>
      </c>
      <c r="AG134" s="7">
        <v>6.1253382084099037</v>
      </c>
      <c r="AH134" s="7">
        <v>0.19699457300692275</v>
      </c>
      <c r="AI134" s="7">
        <v>5.227663456361566</v>
      </c>
      <c r="AJ134" s="7">
        <v>1.5160738389852626</v>
      </c>
      <c r="AK134" s="7">
        <v>1.7911113433824337</v>
      </c>
      <c r="AL134" s="7">
        <v>5.6869266166324088</v>
      </c>
      <c r="AM134" s="7">
        <v>2.3169392002457414</v>
      </c>
      <c r="AN134" s="7">
        <v>0.86784787270059816</v>
      </c>
      <c r="AO13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37.728895109724839</v>
      </c>
    </row>
    <row r="135" spans="1:41" x14ac:dyDescent="0.3">
      <c r="A135" s="2" t="s">
        <v>132</v>
      </c>
      <c r="B135">
        <f>'Rådata-K'!N134</f>
        <v>4</v>
      </c>
      <c r="C135" s="7">
        <f>'Rådata-K'!M134</f>
        <v>125.616666667</v>
      </c>
      <c r="D135" s="24">
        <f>'Rådata-K'!O134</f>
        <v>16.952934461107361</v>
      </c>
      <c r="E135" s="24">
        <f>'Rådata-K'!P134</f>
        <v>15.206311526914753</v>
      </c>
      <c r="F135" s="24">
        <f>'Rådata-K'!Q134</f>
        <v>-5.6308020088267074E-3</v>
      </c>
      <c r="G135" s="24">
        <f>'Rådata-K'!R134</f>
        <v>0.10101010101010101</v>
      </c>
      <c r="H135" s="24">
        <f>'Rådata-K'!S134</f>
        <v>0.18809305172941537</v>
      </c>
      <c r="I135" s="24">
        <f>'Rådata-K'!T134</f>
        <v>-2.6350461133070047E-3</v>
      </c>
      <c r="J135" s="24">
        <f>'Rådata-K'!U134</f>
        <v>0.82767056265289485</v>
      </c>
      <c r="K135" s="24">
        <f>'Rådata-K'!L134</f>
        <v>359100</v>
      </c>
      <c r="L135" s="24">
        <f>Tabell2[[#This Row],[NIBR11]]</f>
        <v>4</v>
      </c>
      <c r="M135" s="24">
        <f>IF(Tabell2[[#This Row],[ReisetidOslo]]&lt;=C$434,C$434,IF(Tabell2[[#This Row],[ReisetidOslo]]&gt;=C$435,C$435,Tabell2[[#This Row],[ReisetidOslo]]))</f>
        <v>125.616666667</v>
      </c>
      <c r="N135" s="24">
        <f>IF(Tabell2[[#This Row],[Beftettland]]&lt;=D$434,D$434,IF(Tabell2[[#This Row],[Beftettland]]&gt;=D$435,D$435,Tabell2[[#This Row],[Beftettland]]))</f>
        <v>16.952934461107361</v>
      </c>
      <c r="O135" s="24">
        <f>IF(Tabell2[[#This Row],[Beftettotal]]&lt;=E$434,E$434,IF(Tabell2[[#This Row],[Beftettotal]]&gt;=E$435,E$435,Tabell2[[#This Row],[Beftettotal]]))</f>
        <v>15.206311526914753</v>
      </c>
      <c r="P135" s="24">
        <f>IF(Tabell2[[#This Row],[Befvekst10]]&lt;=F$434,F$434,IF(Tabell2[[#This Row],[Befvekst10]]&gt;=F$435,F$435,Tabell2[[#This Row],[Befvekst10]]))</f>
        <v>-5.6308020088267074E-3</v>
      </c>
      <c r="Q135" s="24">
        <f>IF(Tabell2[[#This Row],[Kvinneandel]]&lt;=G$434,G$434,IF(Tabell2[[#This Row],[Kvinneandel]]&gt;=G$435,G$435,Tabell2[[#This Row],[Kvinneandel]]))</f>
        <v>0.10101010101010101</v>
      </c>
      <c r="R135" s="24">
        <f>IF(Tabell2[[#This Row],[Eldreandel]]&lt;=H$434,H$434,IF(Tabell2[[#This Row],[Eldreandel]]&gt;=H$435,H$435,Tabell2[[#This Row],[Eldreandel]]))</f>
        <v>0.18809305172941537</v>
      </c>
      <c r="S135" s="24">
        <f>IF(Tabell2[[#This Row],[Sysselsettingsvekst10]]&lt;=I$434,I$434,IF(Tabell2[[#This Row],[Sysselsettingsvekst10]]&gt;=I$435,I$435,Tabell2[[#This Row],[Sysselsettingsvekst10]]))</f>
        <v>-2.6350461133070047E-3</v>
      </c>
      <c r="T135" s="24">
        <f>IF(Tabell2[[#This Row],[Yrkesaktivandel]]&lt;=J$434,J$434,IF(Tabell2[[#This Row],[Yrkesaktivandel]]&gt;=J$435,J$435,Tabell2[[#This Row],[Yrkesaktivandel]]))</f>
        <v>0.82767056265289485</v>
      </c>
      <c r="U135" s="24">
        <f>IF(Tabell2[[#This Row],[Inntekt]]&lt;=K$434,K$434,IF(Tabell2[[#This Row],[Inntekt]]&gt;=K$435,K$435,Tabell2[[#This Row],[Inntekt]]))</f>
        <v>359100</v>
      </c>
      <c r="V135" s="7">
        <f>IF(Tabell2[[#This Row],[NIBR11-T]]&lt;=L$437,100,IF(Tabell2[[#This Row],[NIBR11-T]]&gt;=L$436,0,100*(L$436-Tabell2[[#This Row],[NIBR11-T]])/L$439))</f>
        <v>70</v>
      </c>
      <c r="W135" s="7">
        <f>(M$436-Tabell2[[#This Row],[ReisetidOslo-T]])*100/M$439</f>
        <v>67.93711151722448</v>
      </c>
      <c r="X135" s="7">
        <f>100-(N$436-Tabell2[[#This Row],[Beftettland-T]])*100/N$439</f>
        <v>11.502683244988191</v>
      </c>
      <c r="Y135" s="7">
        <f>100-(O$436-Tabell2[[#This Row],[Beftettotal-T]])*100/O$439</f>
        <v>10.630600817392121</v>
      </c>
      <c r="Z135" s="7">
        <f>100-(P$436-Tabell2[[#This Row],[Befvekst10-T]])*100/P$439</f>
        <v>26.484349696188545</v>
      </c>
      <c r="AA135" s="7">
        <f>100-(Q$436-Tabell2[[#This Row],[Kvinneandel-T]])*100/Q$439</f>
        <v>30.180328419981677</v>
      </c>
      <c r="AB135" s="7">
        <f>(R$436-Tabell2[[#This Row],[Eldreandel-T]])*100/R$439</f>
        <v>34.790760385499915</v>
      </c>
      <c r="AC135" s="7">
        <f>100-(S$436-Tabell2[[#This Row],[Sysselsettingsvekst10-T]])*100/S$439</f>
        <v>29.35045693275589</v>
      </c>
      <c r="AD135" s="7">
        <f>100-(T$436-Tabell2[[#This Row],[Yrkesaktivandel-T]])*100/T$439</f>
        <v>20.302797120514711</v>
      </c>
      <c r="AE135" s="7">
        <f>100-(U$436-Tabell2[[#This Row],[Inntekt-T]])*100/U$439</f>
        <v>16.578264304254603</v>
      </c>
      <c r="AF135" s="7">
        <v>14</v>
      </c>
      <c r="AG135" s="7">
        <v>6.793711151722448</v>
      </c>
      <c r="AH135" s="7">
        <v>1.0630600817392122</v>
      </c>
      <c r="AI135" s="7">
        <v>5.296869939237709</v>
      </c>
      <c r="AJ135" s="7">
        <v>1.509016420999084</v>
      </c>
      <c r="AK135" s="7">
        <v>1.7395380192749959</v>
      </c>
      <c r="AL135" s="7">
        <v>2.9350456932755891</v>
      </c>
      <c r="AM135" s="7">
        <v>2.0302797120514713</v>
      </c>
      <c r="AN135" s="7">
        <v>1.6578264304254604</v>
      </c>
      <c r="AO13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37.025347448725974</v>
      </c>
    </row>
    <row r="136" spans="1:41" x14ac:dyDescent="0.3">
      <c r="A136" s="2" t="s">
        <v>133</v>
      </c>
      <c r="B136">
        <f>'Rådata-K'!N135</f>
        <v>5</v>
      </c>
      <c r="C136" s="7">
        <f>'Rådata-K'!M135</f>
        <v>114.983333333</v>
      </c>
      <c r="D136" s="24">
        <f>'Rådata-K'!O135</f>
        <v>23.623480213738095</v>
      </c>
      <c r="E136" s="24">
        <f>'Rådata-K'!P135</f>
        <v>23.17921051631777</v>
      </c>
      <c r="F136" s="24">
        <f>'Rådata-K'!Q135</f>
        <v>0.14961371773129839</v>
      </c>
      <c r="G136" s="24">
        <f>'Rådata-K'!R135</f>
        <v>0.13981314538600229</v>
      </c>
      <c r="H136" s="24">
        <f>'Rådata-K'!S135</f>
        <v>0.15440091788231439</v>
      </c>
      <c r="I136" s="24">
        <f>'Rådata-K'!T135</f>
        <v>8.4920634920634841E-2</v>
      </c>
      <c r="J136" s="24">
        <f>'Rådata-K'!U135</f>
        <v>0.78519755147468007</v>
      </c>
      <c r="K136" s="24">
        <f>'Rådata-K'!L135</f>
        <v>358600</v>
      </c>
      <c r="L136" s="24">
        <f>Tabell2[[#This Row],[NIBR11]]</f>
        <v>5</v>
      </c>
      <c r="M136" s="24">
        <f>IF(Tabell2[[#This Row],[ReisetidOslo]]&lt;=C$434,C$434,IF(Tabell2[[#This Row],[ReisetidOslo]]&gt;=C$435,C$435,Tabell2[[#This Row],[ReisetidOslo]]))</f>
        <v>114.983333333</v>
      </c>
      <c r="N136" s="24">
        <f>IF(Tabell2[[#This Row],[Beftettland]]&lt;=D$434,D$434,IF(Tabell2[[#This Row],[Beftettland]]&gt;=D$435,D$435,Tabell2[[#This Row],[Beftettland]]))</f>
        <v>23.623480213738095</v>
      </c>
      <c r="O136" s="24">
        <f>IF(Tabell2[[#This Row],[Beftettotal]]&lt;=E$434,E$434,IF(Tabell2[[#This Row],[Beftettotal]]&gt;=E$435,E$435,Tabell2[[#This Row],[Beftettotal]]))</f>
        <v>23.17921051631777</v>
      </c>
      <c r="P136" s="24">
        <f>IF(Tabell2[[#This Row],[Befvekst10]]&lt;=F$434,F$434,IF(Tabell2[[#This Row],[Befvekst10]]&gt;=F$435,F$435,Tabell2[[#This Row],[Befvekst10]]))</f>
        <v>0.14961371773129839</v>
      </c>
      <c r="Q136" s="24">
        <f>IF(Tabell2[[#This Row],[Kvinneandel]]&lt;=G$434,G$434,IF(Tabell2[[#This Row],[Kvinneandel]]&gt;=G$435,G$435,Tabell2[[#This Row],[Kvinneandel]]))</f>
        <v>0.12758728250318055</v>
      </c>
      <c r="R136" s="24">
        <f>IF(Tabell2[[#This Row],[Eldreandel]]&lt;=H$434,H$434,IF(Tabell2[[#This Row],[Eldreandel]]&gt;=H$435,H$435,Tabell2[[#This Row],[Eldreandel]]))</f>
        <v>0.15440091788231439</v>
      </c>
      <c r="S136" s="24">
        <f>IF(Tabell2[[#This Row],[Sysselsettingsvekst10]]&lt;=I$434,I$434,IF(Tabell2[[#This Row],[Sysselsettingsvekst10]]&gt;=I$435,I$435,Tabell2[[#This Row],[Sysselsettingsvekst10]]))</f>
        <v>8.4920634920634841E-2</v>
      </c>
      <c r="T136" s="24">
        <f>IF(Tabell2[[#This Row],[Yrkesaktivandel]]&lt;=J$434,J$434,IF(Tabell2[[#This Row],[Yrkesaktivandel]]&gt;=J$435,J$435,Tabell2[[#This Row],[Yrkesaktivandel]]))</f>
        <v>0.79888426611272945</v>
      </c>
      <c r="U136" s="24">
        <f>IF(Tabell2[[#This Row],[Inntekt]]&lt;=K$434,K$434,IF(Tabell2[[#This Row],[Inntekt]]&gt;=K$435,K$435,Tabell2[[#This Row],[Inntekt]]))</f>
        <v>358600</v>
      </c>
      <c r="V136" s="7">
        <f>IF(Tabell2[[#This Row],[NIBR11-T]]&lt;=L$437,100,IF(Tabell2[[#This Row],[NIBR11-T]]&gt;=L$436,0,100*(L$436-Tabell2[[#This Row],[NIBR11-T]])/L$439))</f>
        <v>60</v>
      </c>
      <c r="W136" s="7">
        <f>(M$436-Tabell2[[#This Row],[ReisetidOslo-T]])*100/M$439</f>
        <v>72.602559415139908</v>
      </c>
      <c r="X136" s="7">
        <f>100-(N$436-Tabell2[[#This Row],[Beftettland-T]])*100/N$439</f>
        <v>16.43691091217103</v>
      </c>
      <c r="Y136" s="7">
        <f>100-(O$436-Tabell2[[#This Row],[Beftettotal-T]])*100/O$439</f>
        <v>16.733365182425189</v>
      </c>
      <c r="Z136" s="7">
        <f>100-(P$436-Tabell2[[#This Row],[Befvekst10-T]])*100/P$439</f>
        <v>89.321284781475583</v>
      </c>
      <c r="AA136" s="7">
        <f>100-(Q$436-Tabell2[[#This Row],[Kvinneandel-T]])*100/Q$439</f>
        <v>100</v>
      </c>
      <c r="AB136" s="7">
        <f>(R$436-Tabell2[[#This Row],[Eldreandel-T]])*100/R$439</f>
        <v>71.153158702698803</v>
      </c>
      <c r="AC136" s="7">
        <f>100-(S$436-Tabell2[[#This Row],[Sysselsettingsvekst10-T]])*100/S$439</f>
        <v>57.924367334154809</v>
      </c>
      <c r="AD136" s="7">
        <f>100-(T$436-Tabell2[[#This Row],[Yrkesaktivandel-T]])*100/T$439</f>
        <v>0</v>
      </c>
      <c r="AE136" s="7">
        <f>100-(U$436-Tabell2[[#This Row],[Inntekt-T]])*100/U$439</f>
        <v>16.013993905879701</v>
      </c>
      <c r="AF136" s="7">
        <v>12</v>
      </c>
      <c r="AG136" s="7">
        <v>7.2602559415139911</v>
      </c>
      <c r="AH136" s="7">
        <v>1.6733365182425191</v>
      </c>
      <c r="AI136" s="7">
        <v>17.864256956295119</v>
      </c>
      <c r="AJ136" s="7">
        <v>5</v>
      </c>
      <c r="AK136" s="7">
        <v>3.5576579351349404</v>
      </c>
      <c r="AL136" s="7">
        <v>5.7924367334154816</v>
      </c>
      <c r="AM136" s="7">
        <v>0</v>
      </c>
      <c r="AN136" s="7">
        <v>1.6013993905879702</v>
      </c>
      <c r="AO13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54.749343475190017</v>
      </c>
    </row>
    <row r="137" spans="1:41" x14ac:dyDescent="0.3">
      <c r="A137" s="2" t="s">
        <v>134</v>
      </c>
      <c r="B137">
        <f>'Rådata-K'!N136</f>
        <v>5</v>
      </c>
      <c r="C137" s="7">
        <f>'Rådata-K'!M136</f>
        <v>115.05</v>
      </c>
      <c r="D137" s="24">
        <f>'Rådata-K'!O136</f>
        <v>14.978764545423154</v>
      </c>
      <c r="E137" s="24">
        <f>'Rådata-K'!P136</f>
        <v>13.533412366631309</v>
      </c>
      <c r="F137" s="24">
        <f>'Rådata-K'!Q136</f>
        <v>1.0953157772081168E-2</v>
      </c>
      <c r="G137" s="24">
        <f>'Rådata-K'!R136</f>
        <v>0.10926694329183956</v>
      </c>
      <c r="H137" s="24">
        <f>'Rådata-K'!S136</f>
        <v>0.17611802674043339</v>
      </c>
      <c r="I137" s="24">
        <f>'Rådata-K'!T136</f>
        <v>-1.1469534050179253E-2</v>
      </c>
      <c r="J137" s="24">
        <f>'Rådata-K'!U136</f>
        <v>0.83589329021826997</v>
      </c>
      <c r="K137" s="24">
        <f>'Rådata-K'!L136</f>
        <v>370500</v>
      </c>
      <c r="L137" s="24">
        <f>Tabell2[[#This Row],[NIBR11]]</f>
        <v>5</v>
      </c>
      <c r="M137" s="24">
        <f>IF(Tabell2[[#This Row],[ReisetidOslo]]&lt;=C$434,C$434,IF(Tabell2[[#This Row],[ReisetidOslo]]&gt;=C$435,C$435,Tabell2[[#This Row],[ReisetidOslo]]))</f>
        <v>115.05</v>
      </c>
      <c r="N137" s="24">
        <f>IF(Tabell2[[#This Row],[Beftettland]]&lt;=D$434,D$434,IF(Tabell2[[#This Row],[Beftettland]]&gt;=D$435,D$435,Tabell2[[#This Row],[Beftettland]]))</f>
        <v>14.978764545423154</v>
      </c>
      <c r="O137" s="24">
        <f>IF(Tabell2[[#This Row],[Beftettotal]]&lt;=E$434,E$434,IF(Tabell2[[#This Row],[Beftettotal]]&gt;=E$435,E$435,Tabell2[[#This Row],[Beftettotal]]))</f>
        <v>13.533412366631309</v>
      </c>
      <c r="P137" s="24">
        <f>IF(Tabell2[[#This Row],[Befvekst10]]&lt;=F$434,F$434,IF(Tabell2[[#This Row],[Befvekst10]]&gt;=F$435,F$435,Tabell2[[#This Row],[Befvekst10]]))</f>
        <v>1.0953157772081168E-2</v>
      </c>
      <c r="Q137" s="24">
        <f>IF(Tabell2[[#This Row],[Kvinneandel]]&lt;=G$434,G$434,IF(Tabell2[[#This Row],[Kvinneandel]]&gt;=G$435,G$435,Tabell2[[#This Row],[Kvinneandel]]))</f>
        <v>0.10926694329183956</v>
      </c>
      <c r="R137" s="24">
        <f>IF(Tabell2[[#This Row],[Eldreandel]]&lt;=H$434,H$434,IF(Tabell2[[#This Row],[Eldreandel]]&gt;=H$435,H$435,Tabell2[[#This Row],[Eldreandel]]))</f>
        <v>0.17611802674043339</v>
      </c>
      <c r="S137" s="24">
        <f>IF(Tabell2[[#This Row],[Sysselsettingsvekst10]]&lt;=I$434,I$434,IF(Tabell2[[#This Row],[Sysselsettingsvekst10]]&gt;=I$435,I$435,Tabell2[[#This Row],[Sysselsettingsvekst10]]))</f>
        <v>-1.1469534050179253E-2</v>
      </c>
      <c r="T137" s="24">
        <f>IF(Tabell2[[#This Row],[Yrkesaktivandel]]&lt;=J$434,J$434,IF(Tabell2[[#This Row],[Yrkesaktivandel]]&gt;=J$435,J$435,Tabell2[[#This Row],[Yrkesaktivandel]]))</f>
        <v>0.83589329021826997</v>
      </c>
      <c r="U137" s="24">
        <f>IF(Tabell2[[#This Row],[Inntekt]]&lt;=K$434,K$434,IF(Tabell2[[#This Row],[Inntekt]]&gt;=K$435,K$435,Tabell2[[#This Row],[Inntekt]]))</f>
        <v>370500</v>
      </c>
      <c r="V137" s="7">
        <f>IF(Tabell2[[#This Row],[NIBR11-T]]&lt;=L$437,100,IF(Tabell2[[#This Row],[NIBR11-T]]&gt;=L$436,0,100*(L$436-Tabell2[[#This Row],[NIBR11-T]])/L$439))</f>
        <v>60</v>
      </c>
      <c r="W137" s="7">
        <f>(M$436-Tabell2[[#This Row],[ReisetidOslo-T]])*100/M$439</f>
        <v>72.573308957955263</v>
      </c>
      <c r="X137" s="7">
        <f>100-(N$436-Tabell2[[#This Row],[Beftettland-T]])*100/N$439</f>
        <v>10.042382367230573</v>
      </c>
      <c r="Y137" s="7">
        <f>100-(O$436-Tabell2[[#This Row],[Beftettotal-T]])*100/O$439</f>
        <v>9.3500992839798585</v>
      </c>
      <c r="Z137" s="7">
        <f>100-(P$436-Tabell2[[#This Row],[Befvekst10-T]])*100/P$439</f>
        <v>33.19689069895206</v>
      </c>
      <c r="AA137" s="7">
        <f>100-(Q$436-Tabell2[[#This Row],[Kvinneandel-T]])*100/Q$439</f>
        <v>51.871492945802721</v>
      </c>
      <c r="AB137" s="7">
        <f>(R$436-Tabell2[[#This Row],[Eldreandel-T]])*100/R$439</f>
        <v>47.714863990331111</v>
      </c>
      <c r="AC137" s="7">
        <f>100-(S$436-Tabell2[[#This Row],[Sysselsettingsvekst10-T]])*100/S$439</f>
        <v>26.467310302298316</v>
      </c>
      <c r="AD137" s="7">
        <f>100-(T$436-Tabell2[[#This Row],[Yrkesaktivandel-T]])*100/T$439</f>
        <v>26.102236075926641</v>
      </c>
      <c r="AE137" s="7">
        <f>100-(U$436-Tabell2[[#This Row],[Inntekt-T]])*100/U$439</f>
        <v>29.44362938720235</v>
      </c>
      <c r="AF137" s="7">
        <v>12</v>
      </c>
      <c r="AG137" s="7">
        <v>7.2573308957955263</v>
      </c>
      <c r="AH137" s="7">
        <v>0.93500992839798591</v>
      </c>
      <c r="AI137" s="7">
        <v>6.6393781397904128</v>
      </c>
      <c r="AJ137" s="7">
        <v>2.5935746472901364</v>
      </c>
      <c r="AK137" s="7">
        <v>2.3857431995165554</v>
      </c>
      <c r="AL137" s="7">
        <v>2.6467310302298319</v>
      </c>
      <c r="AM137" s="7">
        <v>2.6102236075926641</v>
      </c>
      <c r="AN137" s="7">
        <v>2.9443629387202352</v>
      </c>
      <c r="AO13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40.012354387333346</v>
      </c>
    </row>
    <row r="138" spans="1:41" x14ac:dyDescent="0.3">
      <c r="A138" s="2" t="s">
        <v>135</v>
      </c>
      <c r="B138">
        <f>'Rådata-K'!N137</f>
        <v>9</v>
      </c>
      <c r="C138" s="7">
        <f>'Rådata-K'!M137</f>
        <v>136.55000000000001</v>
      </c>
      <c r="D138" s="24">
        <f>'Rådata-K'!O137</f>
        <v>3.2142509280202596</v>
      </c>
      <c r="E138" s="24">
        <f>'Rådata-K'!P137</f>
        <v>2.9044466393498736</v>
      </c>
      <c r="F138" s="24">
        <f>'Rådata-K'!Q137</f>
        <v>-4.914358892268289E-2</v>
      </c>
      <c r="G138" s="24">
        <f>'Rådata-K'!R137</f>
        <v>9.2255892255892258E-2</v>
      </c>
      <c r="H138" s="24">
        <f>'Rådata-K'!S137</f>
        <v>0.18973063973063972</v>
      </c>
      <c r="I138" s="24">
        <f>'Rådata-K'!T137</f>
        <v>-6.5217391304347783E-2</v>
      </c>
      <c r="J138" s="24">
        <f>'Rådata-K'!U137</f>
        <v>0.8677710843373494</v>
      </c>
      <c r="K138" s="24">
        <f>'Rådata-K'!L137</f>
        <v>374300</v>
      </c>
      <c r="L138" s="24">
        <f>Tabell2[[#This Row],[NIBR11]]</f>
        <v>9</v>
      </c>
      <c r="M138" s="24">
        <f>IF(Tabell2[[#This Row],[ReisetidOslo]]&lt;=C$434,C$434,IF(Tabell2[[#This Row],[ReisetidOslo]]&gt;=C$435,C$435,Tabell2[[#This Row],[ReisetidOslo]]))</f>
        <v>136.55000000000001</v>
      </c>
      <c r="N138" s="24">
        <f>IF(Tabell2[[#This Row],[Beftettland]]&lt;=D$434,D$434,IF(Tabell2[[#This Row],[Beftettland]]&gt;=D$435,D$435,Tabell2[[#This Row],[Beftettland]]))</f>
        <v>3.2142509280202596</v>
      </c>
      <c r="O138" s="24">
        <f>IF(Tabell2[[#This Row],[Beftettotal]]&lt;=E$434,E$434,IF(Tabell2[[#This Row],[Beftettotal]]&gt;=E$435,E$435,Tabell2[[#This Row],[Beftettotal]]))</f>
        <v>2.9044466393498736</v>
      </c>
      <c r="P138" s="24">
        <f>IF(Tabell2[[#This Row],[Befvekst10]]&lt;=F$434,F$434,IF(Tabell2[[#This Row],[Befvekst10]]&gt;=F$435,F$435,Tabell2[[#This Row],[Befvekst10]]))</f>
        <v>-4.914358892268289E-2</v>
      </c>
      <c r="Q138" s="24">
        <f>IF(Tabell2[[#This Row],[Kvinneandel]]&lt;=G$434,G$434,IF(Tabell2[[#This Row],[Kvinneandel]]&gt;=G$435,G$435,Tabell2[[#This Row],[Kvinneandel]]))</f>
        <v>9.2255892255892258E-2</v>
      </c>
      <c r="R138" s="24">
        <f>IF(Tabell2[[#This Row],[Eldreandel]]&lt;=H$434,H$434,IF(Tabell2[[#This Row],[Eldreandel]]&gt;=H$435,H$435,Tabell2[[#This Row],[Eldreandel]]))</f>
        <v>0.18973063973063972</v>
      </c>
      <c r="S138" s="24">
        <f>IF(Tabell2[[#This Row],[Sysselsettingsvekst10]]&lt;=I$434,I$434,IF(Tabell2[[#This Row],[Sysselsettingsvekst10]]&gt;=I$435,I$435,Tabell2[[#This Row],[Sysselsettingsvekst10]]))</f>
        <v>-6.5217391304347783E-2</v>
      </c>
      <c r="T138" s="24">
        <f>IF(Tabell2[[#This Row],[Yrkesaktivandel]]&lt;=J$434,J$434,IF(Tabell2[[#This Row],[Yrkesaktivandel]]&gt;=J$435,J$435,Tabell2[[#This Row],[Yrkesaktivandel]]))</f>
        <v>0.8677710843373494</v>
      </c>
      <c r="U138" s="24">
        <f>IF(Tabell2[[#This Row],[Inntekt]]&lt;=K$434,K$434,IF(Tabell2[[#This Row],[Inntekt]]&gt;=K$435,K$435,Tabell2[[#This Row],[Inntekt]]))</f>
        <v>374300</v>
      </c>
      <c r="V138" s="7">
        <f>IF(Tabell2[[#This Row],[NIBR11-T]]&lt;=L$437,100,IF(Tabell2[[#This Row],[NIBR11-T]]&gt;=L$436,0,100*(L$436-Tabell2[[#This Row],[NIBR11-T]])/L$439))</f>
        <v>20</v>
      </c>
      <c r="W138" s="7">
        <f>(M$436-Tabell2[[#This Row],[ReisetidOslo-T]])*100/M$439</f>
        <v>63.140036563075064</v>
      </c>
      <c r="X138" s="7">
        <f>100-(N$436-Tabell2[[#This Row],[Beftettland-T]])*100/N$439</f>
        <v>1.3401275990887882</v>
      </c>
      <c r="Y138" s="7">
        <f>100-(O$436-Tabell2[[#This Row],[Beftettotal-T]])*100/O$439</f>
        <v>1.2142790053301127</v>
      </c>
      <c r="Z138" s="7">
        <f>100-(P$436-Tabell2[[#This Row],[Befvekst10-T]])*100/P$439</f>
        <v>8.8720683012452639</v>
      </c>
      <c r="AA138" s="7">
        <f>100-(Q$436-Tabell2[[#This Row],[Kvinneandel-T]])*100/Q$439</f>
        <v>7.1825556756847817</v>
      </c>
      <c r="AB138" s="7">
        <f>(R$436-Tabell2[[#This Row],[Eldreandel-T]])*100/R$439</f>
        <v>33.023385619324067</v>
      </c>
      <c r="AC138" s="7">
        <f>100-(S$436-Tabell2[[#This Row],[Sysselsettingsvekst10-T]])*100/S$439</f>
        <v>8.9266271700133046</v>
      </c>
      <c r="AD138" s="7">
        <f>100-(T$436-Tabell2[[#This Row],[Yrkesaktivandel-T]])*100/T$439</f>
        <v>48.585447340917241</v>
      </c>
      <c r="AE138" s="7">
        <f>100-(U$436-Tabell2[[#This Row],[Inntekt-T]])*100/U$439</f>
        <v>33.732084414851599</v>
      </c>
      <c r="AF138" s="7">
        <v>4</v>
      </c>
      <c r="AG138" s="7">
        <v>6.3140036563075066</v>
      </c>
      <c r="AH138" s="7">
        <v>0.12142790053301128</v>
      </c>
      <c r="AI138" s="7">
        <v>1.7744136602490528</v>
      </c>
      <c r="AJ138" s="7">
        <v>0.3591277837842391</v>
      </c>
      <c r="AK138" s="7">
        <v>1.6511692809662035</v>
      </c>
      <c r="AL138" s="7">
        <v>0.89266271700133049</v>
      </c>
      <c r="AM138" s="7">
        <v>4.8585447340917245</v>
      </c>
      <c r="AN138" s="7">
        <v>3.37320844148516</v>
      </c>
      <c r="AO13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23.344558174418228</v>
      </c>
    </row>
    <row r="139" spans="1:41" x14ac:dyDescent="0.3">
      <c r="A139" s="2" t="s">
        <v>136</v>
      </c>
      <c r="B139">
        <f>'Rådata-K'!N138</f>
        <v>5</v>
      </c>
      <c r="C139" s="7">
        <f>'Rådata-K'!M138</f>
        <v>108.483333333</v>
      </c>
      <c r="D139" s="24">
        <f>'Rådata-K'!O138</f>
        <v>2.1882758340003527</v>
      </c>
      <c r="E139" s="24">
        <f>'Rådata-K'!P138</f>
        <v>2.0376452753916117</v>
      </c>
      <c r="F139" s="24">
        <f>'Rådata-K'!Q138</f>
        <v>-3.7059913526867883E-3</v>
      </c>
      <c r="G139" s="24">
        <f>'Rådata-K'!R138</f>
        <v>9.5474271543707384E-2</v>
      </c>
      <c r="H139" s="24">
        <f>'Rådata-K'!S138</f>
        <v>0.21202727836329821</v>
      </c>
      <c r="I139" s="24">
        <f>'Rådata-K'!T138</f>
        <v>0.21378091872791516</v>
      </c>
      <c r="J139" s="24">
        <f>'Rådata-K'!U138</f>
        <v>0.9518779342723005</v>
      </c>
      <c r="K139" s="24">
        <f>'Rådata-K'!L138</f>
        <v>371400</v>
      </c>
      <c r="L139" s="24">
        <f>Tabell2[[#This Row],[NIBR11]]</f>
        <v>5</v>
      </c>
      <c r="M139" s="24">
        <f>IF(Tabell2[[#This Row],[ReisetidOslo]]&lt;=C$434,C$434,IF(Tabell2[[#This Row],[ReisetidOslo]]&gt;=C$435,C$435,Tabell2[[#This Row],[ReisetidOslo]]))</f>
        <v>108.483333333</v>
      </c>
      <c r="N139" s="24">
        <f>IF(Tabell2[[#This Row],[Beftettland]]&lt;=D$434,D$434,IF(Tabell2[[#This Row],[Beftettland]]&gt;=D$435,D$435,Tabell2[[#This Row],[Beftettland]]))</f>
        <v>2.1882758340003527</v>
      </c>
      <c r="O139" s="24">
        <f>IF(Tabell2[[#This Row],[Beftettotal]]&lt;=E$434,E$434,IF(Tabell2[[#This Row],[Beftettotal]]&gt;=E$435,E$435,Tabell2[[#This Row],[Beftettotal]]))</f>
        <v>2.0376452753916117</v>
      </c>
      <c r="P139" s="24">
        <f>IF(Tabell2[[#This Row],[Befvekst10]]&lt;=F$434,F$434,IF(Tabell2[[#This Row],[Befvekst10]]&gt;=F$435,F$435,Tabell2[[#This Row],[Befvekst10]]))</f>
        <v>-3.7059913526867883E-3</v>
      </c>
      <c r="Q139" s="24">
        <f>IF(Tabell2[[#This Row],[Kvinneandel]]&lt;=G$434,G$434,IF(Tabell2[[#This Row],[Kvinneandel]]&gt;=G$435,G$435,Tabell2[[#This Row],[Kvinneandel]]))</f>
        <v>9.5474271543707384E-2</v>
      </c>
      <c r="R139" s="24">
        <f>IF(Tabell2[[#This Row],[Eldreandel]]&lt;=H$434,H$434,IF(Tabell2[[#This Row],[Eldreandel]]&gt;=H$435,H$435,Tabell2[[#This Row],[Eldreandel]]))</f>
        <v>0.21202727836329821</v>
      </c>
      <c r="S139" s="24">
        <f>IF(Tabell2[[#This Row],[Sysselsettingsvekst10]]&lt;=I$434,I$434,IF(Tabell2[[#This Row],[Sysselsettingsvekst10]]&gt;=I$435,I$435,Tabell2[[#This Row],[Sysselsettingsvekst10]]))</f>
        <v>0.21378091872791516</v>
      </c>
      <c r="T139" s="24">
        <f>IF(Tabell2[[#This Row],[Yrkesaktivandel]]&lt;=J$434,J$434,IF(Tabell2[[#This Row],[Yrkesaktivandel]]&gt;=J$435,J$435,Tabell2[[#This Row],[Yrkesaktivandel]]))</f>
        <v>0.94066914614326791</v>
      </c>
      <c r="U139" s="24">
        <f>IF(Tabell2[[#This Row],[Inntekt]]&lt;=K$434,K$434,IF(Tabell2[[#This Row],[Inntekt]]&gt;=K$435,K$435,Tabell2[[#This Row],[Inntekt]]))</f>
        <v>371400</v>
      </c>
      <c r="V139" s="7">
        <f>IF(Tabell2[[#This Row],[NIBR11-T]]&lt;=L$437,100,IF(Tabell2[[#This Row],[NIBR11-T]]&gt;=L$436,0,100*(L$436-Tabell2[[#This Row],[NIBR11-T]])/L$439))</f>
        <v>60</v>
      </c>
      <c r="W139" s="7">
        <f>(M$436-Tabell2[[#This Row],[ReisetidOslo-T]])*100/M$439</f>
        <v>75.454478976382759</v>
      </c>
      <c r="X139" s="7">
        <f>100-(N$436-Tabell2[[#This Row],[Beftettland-T]])*100/N$439</f>
        <v>0.58120998087787257</v>
      </c>
      <c r="Y139" s="7">
        <f>100-(O$436-Tabell2[[#This Row],[Beftettotal-T]])*100/O$439</f>
        <v>0.55079581276019951</v>
      </c>
      <c r="Z139" s="7">
        <f>100-(P$436-Tabell2[[#This Row],[Befvekst10-T]])*100/P$439</f>
        <v>27.263438081748305</v>
      </c>
      <c r="AA139" s="7">
        <f>100-(Q$436-Tabell2[[#This Row],[Kvinneandel-T]])*100/Q$439</f>
        <v>15.637409511622835</v>
      </c>
      <c r="AB139" s="7">
        <f>(R$436-Tabell2[[#This Row],[Eldreandel-T]])*100/R$439</f>
        <v>8.9596305964247431</v>
      </c>
      <c r="AC139" s="7">
        <f>100-(S$436-Tabell2[[#This Row],[Sysselsettingsvekst10-T]])*100/S$439</f>
        <v>99.978088581331022</v>
      </c>
      <c r="AD139" s="7">
        <f>100-(T$436-Tabell2[[#This Row],[Yrkesaktivandel-T]])*100/T$439</f>
        <v>100</v>
      </c>
      <c r="AE139" s="7">
        <f>100-(U$436-Tabell2[[#This Row],[Inntekt-T]])*100/U$439</f>
        <v>30.459316104277164</v>
      </c>
      <c r="AF139" s="7">
        <v>12</v>
      </c>
      <c r="AG139" s="7">
        <v>7.5454478976382759</v>
      </c>
      <c r="AH139" s="7">
        <v>5.5079581276019952E-2</v>
      </c>
      <c r="AI139" s="7">
        <v>5.4526876163496611</v>
      </c>
      <c r="AJ139" s="7">
        <v>0.78187047558114176</v>
      </c>
      <c r="AK139" s="7">
        <v>0.44798152982123718</v>
      </c>
      <c r="AL139" s="7">
        <v>9.9978088581331033</v>
      </c>
      <c r="AM139" s="7">
        <v>10</v>
      </c>
      <c r="AN139" s="7">
        <v>3.0459316104277168</v>
      </c>
      <c r="AO13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49.326807569227149</v>
      </c>
    </row>
    <row r="140" spans="1:41" x14ac:dyDescent="0.3">
      <c r="A140" s="2" t="s">
        <v>137</v>
      </c>
      <c r="B140">
        <f>'Rådata-K'!N139</f>
        <v>10</v>
      </c>
      <c r="C140" s="7">
        <f>'Rådata-K'!M139</f>
        <v>135.55000000000001</v>
      </c>
      <c r="D140" s="24">
        <f>'Rådata-K'!O139</f>
        <v>4.4690483661302611</v>
      </c>
      <c r="E140" s="24">
        <f>'Rådata-K'!P139</f>
        <v>4.1826902907326344</v>
      </c>
      <c r="F140" s="24">
        <f>'Rådata-K'!Q139</f>
        <v>2.7129120879120894E-2</v>
      </c>
      <c r="G140" s="24">
        <f>'Rådata-K'!R139</f>
        <v>9.8963557338682714E-2</v>
      </c>
      <c r="H140" s="24">
        <f>'Rådata-K'!S139</f>
        <v>0.19291206954195922</v>
      </c>
      <c r="I140" s="24">
        <f>'Rådata-K'!T139</f>
        <v>3.5567715458276306E-2</v>
      </c>
      <c r="J140" s="24">
        <f>'Rådata-K'!U139</f>
        <v>0.88661037394451148</v>
      </c>
      <c r="K140" s="24">
        <f>'Rådata-K'!L139</f>
        <v>370500</v>
      </c>
      <c r="L140" s="24">
        <f>Tabell2[[#This Row],[NIBR11]]</f>
        <v>10</v>
      </c>
      <c r="M140" s="24">
        <f>IF(Tabell2[[#This Row],[ReisetidOslo]]&lt;=C$434,C$434,IF(Tabell2[[#This Row],[ReisetidOslo]]&gt;=C$435,C$435,Tabell2[[#This Row],[ReisetidOslo]]))</f>
        <v>135.55000000000001</v>
      </c>
      <c r="N140" s="24">
        <f>IF(Tabell2[[#This Row],[Beftettland]]&lt;=D$434,D$434,IF(Tabell2[[#This Row],[Beftettland]]&gt;=D$435,D$435,Tabell2[[#This Row],[Beftettland]]))</f>
        <v>4.4690483661302611</v>
      </c>
      <c r="O140" s="24">
        <f>IF(Tabell2[[#This Row],[Beftettotal]]&lt;=E$434,E$434,IF(Tabell2[[#This Row],[Beftettotal]]&gt;=E$435,E$435,Tabell2[[#This Row],[Beftettotal]]))</f>
        <v>4.1826902907326344</v>
      </c>
      <c r="P140" s="24">
        <f>IF(Tabell2[[#This Row],[Befvekst10]]&lt;=F$434,F$434,IF(Tabell2[[#This Row],[Befvekst10]]&gt;=F$435,F$435,Tabell2[[#This Row],[Befvekst10]]))</f>
        <v>2.7129120879120894E-2</v>
      </c>
      <c r="Q140" s="24">
        <f>IF(Tabell2[[#This Row],[Kvinneandel]]&lt;=G$434,G$434,IF(Tabell2[[#This Row],[Kvinneandel]]&gt;=G$435,G$435,Tabell2[[#This Row],[Kvinneandel]]))</f>
        <v>9.8963557338682714E-2</v>
      </c>
      <c r="R140" s="24">
        <f>IF(Tabell2[[#This Row],[Eldreandel]]&lt;=H$434,H$434,IF(Tabell2[[#This Row],[Eldreandel]]&gt;=H$435,H$435,Tabell2[[#This Row],[Eldreandel]]))</f>
        <v>0.19291206954195922</v>
      </c>
      <c r="S140" s="24">
        <f>IF(Tabell2[[#This Row],[Sysselsettingsvekst10]]&lt;=I$434,I$434,IF(Tabell2[[#This Row],[Sysselsettingsvekst10]]&gt;=I$435,I$435,Tabell2[[#This Row],[Sysselsettingsvekst10]]))</f>
        <v>3.5567715458276306E-2</v>
      </c>
      <c r="T140" s="24">
        <f>IF(Tabell2[[#This Row],[Yrkesaktivandel]]&lt;=J$434,J$434,IF(Tabell2[[#This Row],[Yrkesaktivandel]]&gt;=J$435,J$435,Tabell2[[#This Row],[Yrkesaktivandel]]))</f>
        <v>0.88661037394451148</v>
      </c>
      <c r="U140" s="24">
        <f>IF(Tabell2[[#This Row],[Inntekt]]&lt;=K$434,K$434,IF(Tabell2[[#This Row],[Inntekt]]&gt;=K$435,K$435,Tabell2[[#This Row],[Inntekt]]))</f>
        <v>370500</v>
      </c>
      <c r="V140" s="7">
        <f>IF(Tabell2[[#This Row],[NIBR11-T]]&lt;=L$437,100,IF(Tabell2[[#This Row],[NIBR11-T]]&gt;=L$436,0,100*(L$436-Tabell2[[#This Row],[NIBR11-T]])/L$439))</f>
        <v>10</v>
      </c>
      <c r="W140" s="7">
        <f>(M$436-Tabell2[[#This Row],[ReisetidOslo-T]])*100/M$439</f>
        <v>63.578793418650889</v>
      </c>
      <c r="X140" s="7">
        <f>100-(N$436-Tabell2[[#This Row],[Beftettland-T]])*100/N$439</f>
        <v>2.2683059619147627</v>
      </c>
      <c r="Y140" s="7">
        <f>100-(O$436-Tabell2[[#This Row],[Beftettotal-T]])*100/O$439</f>
        <v>2.1926959921571978</v>
      </c>
      <c r="Z140" s="7">
        <f>100-(P$436-Tabell2[[#This Row],[Befvekst10-T]])*100/P$439</f>
        <v>39.744290538898468</v>
      </c>
      <c r="AA140" s="7">
        <f>100-(Q$436-Tabell2[[#This Row],[Kvinneandel-T]])*100/Q$439</f>
        <v>24.803949173378811</v>
      </c>
      <c r="AB140" s="7">
        <f>(R$436-Tabell2[[#This Row],[Eldreandel-T]])*100/R$439</f>
        <v>29.589812116903577</v>
      </c>
      <c r="AC140" s="7">
        <f>100-(S$436-Tabell2[[#This Row],[Sysselsettingsvekst10-T]])*100/S$439</f>
        <v>41.81797786733987</v>
      </c>
      <c r="AD140" s="7">
        <f>100-(T$436-Tabell2[[#This Row],[Yrkesaktivandel-T]])*100/T$439</f>
        <v>61.872681919882474</v>
      </c>
      <c r="AE140" s="7">
        <f>100-(U$436-Tabell2[[#This Row],[Inntekt-T]])*100/U$439</f>
        <v>29.44362938720235</v>
      </c>
      <c r="AF140" s="7">
        <v>2</v>
      </c>
      <c r="AG140" s="7">
        <v>6.3578793418650896</v>
      </c>
      <c r="AH140" s="7">
        <v>0.21926959921571978</v>
      </c>
      <c r="AI140" s="7">
        <v>7.948858107779694</v>
      </c>
      <c r="AJ140" s="7">
        <v>1.2401974586689406</v>
      </c>
      <c r="AK140" s="7">
        <v>1.4794906058451789</v>
      </c>
      <c r="AL140" s="7">
        <v>4.1817977867339868</v>
      </c>
      <c r="AM140" s="7">
        <v>6.187268191988248</v>
      </c>
      <c r="AN140" s="7">
        <v>2.9443629387202352</v>
      </c>
      <c r="AO14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32.559124030817095</v>
      </c>
    </row>
    <row r="141" spans="1:41" x14ac:dyDescent="0.3">
      <c r="A141" s="2" t="s">
        <v>138</v>
      </c>
      <c r="B141">
        <f>'Rådata-K'!N140</f>
        <v>10</v>
      </c>
      <c r="C141" s="7">
        <f>'Rådata-K'!M140</f>
        <v>148.633333333</v>
      </c>
      <c r="D141" s="24">
        <f>'Rådata-K'!O140</f>
        <v>3.9291847904595287</v>
      </c>
      <c r="E141" s="24">
        <f>'Rådata-K'!P140</f>
        <v>3.4553820963780595</v>
      </c>
      <c r="F141" s="24">
        <f>'Rådata-K'!Q140</f>
        <v>-4.9320388349514577E-2</v>
      </c>
      <c r="G141" s="24">
        <f>'Rådata-K'!R140</f>
        <v>8.9869281045751634E-2</v>
      </c>
      <c r="H141" s="24">
        <f>'Rådata-K'!S140</f>
        <v>0.19403594771241831</v>
      </c>
      <c r="I141" s="24">
        <f>'Rådata-K'!T140</f>
        <v>5.4104477611940371E-2</v>
      </c>
      <c r="J141" s="24">
        <f>'Rådata-K'!U140</f>
        <v>0.9078855547801814</v>
      </c>
      <c r="K141" s="24">
        <f>'Rådata-K'!L140</f>
        <v>368100</v>
      </c>
      <c r="L141" s="24">
        <f>Tabell2[[#This Row],[NIBR11]]</f>
        <v>10</v>
      </c>
      <c r="M141" s="24">
        <f>IF(Tabell2[[#This Row],[ReisetidOslo]]&lt;=C$434,C$434,IF(Tabell2[[#This Row],[ReisetidOslo]]&gt;=C$435,C$435,Tabell2[[#This Row],[ReisetidOslo]]))</f>
        <v>148.633333333</v>
      </c>
      <c r="N141" s="24">
        <f>IF(Tabell2[[#This Row],[Beftettland]]&lt;=D$434,D$434,IF(Tabell2[[#This Row],[Beftettland]]&gt;=D$435,D$435,Tabell2[[#This Row],[Beftettland]]))</f>
        <v>3.9291847904595287</v>
      </c>
      <c r="O141" s="24">
        <f>IF(Tabell2[[#This Row],[Beftettotal]]&lt;=E$434,E$434,IF(Tabell2[[#This Row],[Beftettotal]]&gt;=E$435,E$435,Tabell2[[#This Row],[Beftettotal]]))</f>
        <v>3.4553820963780595</v>
      </c>
      <c r="P141" s="24">
        <f>IF(Tabell2[[#This Row],[Befvekst10]]&lt;=F$434,F$434,IF(Tabell2[[#This Row],[Befvekst10]]&gt;=F$435,F$435,Tabell2[[#This Row],[Befvekst10]]))</f>
        <v>-4.9320388349514577E-2</v>
      </c>
      <c r="Q141" s="24">
        <f>IF(Tabell2[[#This Row],[Kvinneandel]]&lt;=G$434,G$434,IF(Tabell2[[#This Row],[Kvinneandel]]&gt;=G$435,G$435,Tabell2[[#This Row],[Kvinneandel]]))</f>
        <v>8.9869281045751634E-2</v>
      </c>
      <c r="R141" s="24">
        <f>IF(Tabell2[[#This Row],[Eldreandel]]&lt;=H$434,H$434,IF(Tabell2[[#This Row],[Eldreandel]]&gt;=H$435,H$435,Tabell2[[#This Row],[Eldreandel]]))</f>
        <v>0.19403594771241831</v>
      </c>
      <c r="S141" s="24">
        <f>IF(Tabell2[[#This Row],[Sysselsettingsvekst10]]&lt;=I$434,I$434,IF(Tabell2[[#This Row],[Sysselsettingsvekst10]]&gt;=I$435,I$435,Tabell2[[#This Row],[Sysselsettingsvekst10]]))</f>
        <v>5.4104477611940371E-2</v>
      </c>
      <c r="T141" s="24">
        <f>IF(Tabell2[[#This Row],[Yrkesaktivandel]]&lt;=J$434,J$434,IF(Tabell2[[#This Row],[Yrkesaktivandel]]&gt;=J$435,J$435,Tabell2[[#This Row],[Yrkesaktivandel]]))</f>
        <v>0.9078855547801814</v>
      </c>
      <c r="U141" s="24">
        <f>IF(Tabell2[[#This Row],[Inntekt]]&lt;=K$434,K$434,IF(Tabell2[[#This Row],[Inntekt]]&gt;=K$435,K$435,Tabell2[[#This Row],[Inntekt]]))</f>
        <v>368100</v>
      </c>
      <c r="V141" s="7">
        <f>IF(Tabell2[[#This Row],[NIBR11-T]]&lt;=L$437,100,IF(Tabell2[[#This Row],[NIBR11-T]]&gt;=L$436,0,100*(L$436-Tabell2[[#This Row],[NIBR11-T]])/L$439))</f>
        <v>10</v>
      </c>
      <c r="W141" s="7">
        <f>(M$436-Tabell2[[#This Row],[ReisetidOslo-T]])*100/M$439</f>
        <v>57.83839122501346</v>
      </c>
      <c r="X141" s="7">
        <f>100-(N$436-Tabell2[[#This Row],[Beftettland-T]])*100/N$439</f>
        <v>1.8689668537873274</v>
      </c>
      <c r="Y141" s="7">
        <f>100-(O$436-Tabell2[[#This Row],[Beftettotal-T]])*100/O$439</f>
        <v>1.6359862512206718</v>
      </c>
      <c r="Z141" s="7">
        <f>100-(P$436-Tabell2[[#This Row],[Befvekst10-T]])*100/P$439</f>
        <v>8.8005067792956737</v>
      </c>
      <c r="AA141" s="7">
        <f>100-(Q$436-Tabell2[[#This Row],[Kvinneandel-T]])*100/Q$439</f>
        <v>0.912800889060847</v>
      </c>
      <c r="AB141" s="7">
        <f>(R$436-Tabell2[[#This Row],[Eldreandel-T]])*100/R$439</f>
        <v>28.376861168777314</v>
      </c>
      <c r="AC141" s="7">
        <f>100-(S$436-Tabell2[[#This Row],[Sysselsettingsvekst10-T]])*100/S$439</f>
        <v>47.867474309558261</v>
      </c>
      <c r="AD141" s="7">
        <f>100-(T$436-Tabell2[[#This Row],[Yrkesaktivandel-T]])*100/T$439</f>
        <v>76.877935534434016</v>
      </c>
      <c r="AE141" s="7">
        <f>100-(U$436-Tabell2[[#This Row],[Inntekt-T]])*100/U$439</f>
        <v>26.735131475002817</v>
      </c>
      <c r="AF141" s="7">
        <v>2</v>
      </c>
      <c r="AG141" s="7">
        <v>5.7838391225013464</v>
      </c>
      <c r="AH141" s="7">
        <v>0.16359862512206719</v>
      </c>
      <c r="AI141" s="7">
        <v>1.7601013558591347</v>
      </c>
      <c r="AJ141" s="7">
        <v>4.5640044453042351E-2</v>
      </c>
      <c r="AK141" s="7">
        <v>1.4188430584388658</v>
      </c>
      <c r="AL141" s="7">
        <v>4.7867474309558267</v>
      </c>
      <c r="AM141" s="7">
        <v>7.6877935534434023</v>
      </c>
      <c r="AN141" s="7">
        <v>2.673513147500282</v>
      </c>
      <c r="AO14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26.320076338273971</v>
      </c>
    </row>
    <row r="142" spans="1:41" x14ac:dyDescent="0.3">
      <c r="A142" s="2" t="s">
        <v>139</v>
      </c>
      <c r="B142">
        <f>'Rådata-K'!N141</f>
        <v>11</v>
      </c>
      <c r="C142" s="7">
        <f>'Rådata-K'!M141</f>
        <v>172.9</v>
      </c>
      <c r="D142" s="24">
        <f>'Rådata-K'!O141</f>
        <v>1.8360647394136809</v>
      </c>
      <c r="E142" s="24">
        <f>'Rådata-K'!P141</f>
        <v>1.594158068008573</v>
      </c>
      <c r="F142" s="24">
        <f>'Rådata-K'!Q141</f>
        <v>2.5586353944562878E-2</v>
      </c>
      <c r="G142" s="24">
        <f>'Rådata-K'!R141</f>
        <v>9.90990990990991E-2</v>
      </c>
      <c r="H142" s="24">
        <f>'Rådata-K'!S141</f>
        <v>0.17463617463617465</v>
      </c>
      <c r="I142" s="24">
        <f>'Rådata-K'!T141</f>
        <v>0.12142857142857144</v>
      </c>
      <c r="J142" s="24">
        <f>'Rådata-K'!U141</f>
        <v>0.88554216867469882</v>
      </c>
      <c r="K142" s="24">
        <f>'Rådata-K'!L141</f>
        <v>365500</v>
      </c>
      <c r="L142" s="24">
        <f>Tabell2[[#This Row],[NIBR11]]</f>
        <v>11</v>
      </c>
      <c r="M142" s="24">
        <f>IF(Tabell2[[#This Row],[ReisetidOslo]]&lt;=C$434,C$434,IF(Tabell2[[#This Row],[ReisetidOslo]]&gt;=C$435,C$435,Tabell2[[#This Row],[ReisetidOslo]]))</f>
        <v>172.9</v>
      </c>
      <c r="N142" s="24">
        <f>IF(Tabell2[[#This Row],[Beftettland]]&lt;=D$434,D$434,IF(Tabell2[[#This Row],[Beftettland]]&gt;=D$435,D$435,Tabell2[[#This Row],[Beftettland]]))</f>
        <v>1.8360647394136809</v>
      </c>
      <c r="O142" s="24">
        <f>IF(Tabell2[[#This Row],[Beftettotal]]&lt;=E$434,E$434,IF(Tabell2[[#This Row],[Beftettotal]]&gt;=E$435,E$435,Tabell2[[#This Row],[Beftettotal]]))</f>
        <v>1.594158068008573</v>
      </c>
      <c r="P142" s="24">
        <f>IF(Tabell2[[#This Row],[Befvekst10]]&lt;=F$434,F$434,IF(Tabell2[[#This Row],[Befvekst10]]&gt;=F$435,F$435,Tabell2[[#This Row],[Befvekst10]]))</f>
        <v>2.5586353944562878E-2</v>
      </c>
      <c r="Q142" s="24">
        <f>IF(Tabell2[[#This Row],[Kvinneandel]]&lt;=G$434,G$434,IF(Tabell2[[#This Row],[Kvinneandel]]&gt;=G$435,G$435,Tabell2[[#This Row],[Kvinneandel]]))</f>
        <v>9.90990990990991E-2</v>
      </c>
      <c r="R142" s="24">
        <f>IF(Tabell2[[#This Row],[Eldreandel]]&lt;=H$434,H$434,IF(Tabell2[[#This Row],[Eldreandel]]&gt;=H$435,H$435,Tabell2[[#This Row],[Eldreandel]]))</f>
        <v>0.17463617463617465</v>
      </c>
      <c r="S142" s="24">
        <f>IF(Tabell2[[#This Row],[Sysselsettingsvekst10]]&lt;=I$434,I$434,IF(Tabell2[[#This Row],[Sysselsettingsvekst10]]&gt;=I$435,I$435,Tabell2[[#This Row],[Sysselsettingsvekst10]]))</f>
        <v>0.12142857142857144</v>
      </c>
      <c r="T142" s="24">
        <f>IF(Tabell2[[#This Row],[Yrkesaktivandel]]&lt;=J$434,J$434,IF(Tabell2[[#This Row],[Yrkesaktivandel]]&gt;=J$435,J$435,Tabell2[[#This Row],[Yrkesaktivandel]]))</f>
        <v>0.88554216867469882</v>
      </c>
      <c r="U142" s="24">
        <f>IF(Tabell2[[#This Row],[Inntekt]]&lt;=K$434,K$434,IF(Tabell2[[#This Row],[Inntekt]]&gt;=K$435,K$435,Tabell2[[#This Row],[Inntekt]]))</f>
        <v>365500</v>
      </c>
      <c r="V142" s="7">
        <f>IF(Tabell2[[#This Row],[NIBR11-T]]&lt;=L$437,100,IF(Tabell2[[#This Row],[NIBR11-T]]&gt;=L$436,0,100*(L$436-Tabell2[[#This Row],[NIBR11-T]])/L$439))</f>
        <v>0</v>
      </c>
      <c r="W142" s="7">
        <f>(M$436-Tabell2[[#This Row],[ReisetidOslo-T]])*100/M$439</f>
        <v>47.191224862893883</v>
      </c>
      <c r="X142" s="7">
        <f>100-(N$436-Tabell2[[#This Row],[Beftettland-T]])*100/N$439</f>
        <v>0.3206781155633962</v>
      </c>
      <c r="Y142" s="7">
        <f>100-(O$436-Tabell2[[#This Row],[Beftettotal-T]])*100/O$439</f>
        <v>0.21133360093955389</v>
      </c>
      <c r="Z142" s="7">
        <f>100-(P$436-Tabell2[[#This Row],[Befvekst10-T]])*100/P$439</f>
        <v>39.119838571892949</v>
      </c>
      <c r="AA142" s="7">
        <f>100-(Q$436-Tabell2[[#This Row],[Kvinneandel-T]])*100/Q$439</f>
        <v>25.160024598461561</v>
      </c>
      <c r="AB142" s="7">
        <f>(R$436-Tabell2[[#This Row],[Eldreandel-T]])*100/R$439</f>
        <v>49.314160036902884</v>
      </c>
      <c r="AC142" s="7">
        <f>100-(S$436-Tabell2[[#This Row],[Sysselsettingsvekst10-T]])*100/S$439</f>
        <v>69.838779904520678</v>
      </c>
      <c r="AD142" s="7">
        <f>100-(T$436-Tabell2[[#This Row],[Yrkesaktivandel-T]])*100/T$439</f>
        <v>61.119283341992798</v>
      </c>
      <c r="AE142" s="7">
        <f>100-(U$436-Tabell2[[#This Row],[Inntekt-T]])*100/U$439</f>
        <v>23.800925403453334</v>
      </c>
      <c r="AF142" s="7">
        <v>0</v>
      </c>
      <c r="AG142" s="7">
        <v>4.7191224862893888</v>
      </c>
      <c r="AH142" s="7">
        <v>2.1133360093955389E-2</v>
      </c>
      <c r="AI142" s="7">
        <v>7.8239677143785897</v>
      </c>
      <c r="AJ142" s="7">
        <v>1.2580012299230781</v>
      </c>
      <c r="AK142" s="7">
        <v>2.4657080018451443</v>
      </c>
      <c r="AL142" s="7">
        <v>6.9838779904520685</v>
      </c>
      <c r="AM142" s="7">
        <v>6.1119283341992805</v>
      </c>
      <c r="AN142" s="7">
        <v>2.3800925403453337</v>
      </c>
      <c r="AO14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31.76383165752684</v>
      </c>
    </row>
    <row r="143" spans="1:41" x14ac:dyDescent="0.3">
      <c r="A143" s="2" t="s">
        <v>140</v>
      </c>
      <c r="B143">
        <f>'Rådata-K'!N142</f>
        <v>11</v>
      </c>
      <c r="C143" s="7">
        <f>'Rådata-K'!M142</f>
        <v>194</v>
      </c>
      <c r="D143" s="24">
        <f>'Rådata-K'!O142</f>
        <v>1.1953271112476396</v>
      </c>
      <c r="E143" s="24">
        <f>'Rådata-K'!P142</f>
        <v>1.0334807130470105</v>
      </c>
      <c r="F143" s="24">
        <f>'Rådata-K'!Q142</f>
        <v>-3.3601168736303921E-2</v>
      </c>
      <c r="G143" s="24">
        <f>'Rådata-K'!R142</f>
        <v>0.10430839002267574</v>
      </c>
      <c r="H143" s="24">
        <f>'Rådata-K'!S142</f>
        <v>0.17006802721088435</v>
      </c>
      <c r="I143" s="24">
        <f>'Rådata-K'!T142</f>
        <v>-9.3457943925233655E-3</v>
      </c>
      <c r="J143" s="24">
        <f>'Rådata-K'!U142</f>
        <v>0.88331071913161463</v>
      </c>
      <c r="K143" s="24">
        <f>'Rådata-K'!L142</f>
        <v>354000</v>
      </c>
      <c r="L143" s="24">
        <f>Tabell2[[#This Row],[NIBR11]]</f>
        <v>11</v>
      </c>
      <c r="M143" s="24">
        <f>IF(Tabell2[[#This Row],[ReisetidOslo]]&lt;=C$434,C$434,IF(Tabell2[[#This Row],[ReisetidOslo]]&gt;=C$435,C$435,Tabell2[[#This Row],[ReisetidOslo]]))</f>
        <v>194</v>
      </c>
      <c r="N143" s="24">
        <f>IF(Tabell2[[#This Row],[Beftettland]]&lt;=D$434,D$434,IF(Tabell2[[#This Row],[Beftettland]]&gt;=D$435,D$435,Tabell2[[#This Row],[Beftettland]]))</f>
        <v>1.4025423756281519</v>
      </c>
      <c r="O143" s="24">
        <f>IF(Tabell2[[#This Row],[Beftettotal]]&lt;=E$434,E$434,IF(Tabell2[[#This Row],[Beftettotal]]&gt;=E$435,E$435,Tabell2[[#This Row],[Beftettotal]]))</f>
        <v>1.3180632767674032</v>
      </c>
      <c r="P143" s="24">
        <f>IF(Tabell2[[#This Row],[Befvekst10]]&lt;=F$434,F$434,IF(Tabell2[[#This Row],[Befvekst10]]&gt;=F$435,F$435,Tabell2[[#This Row],[Befvekst10]]))</f>
        <v>-3.3601168736303921E-2</v>
      </c>
      <c r="Q143" s="24">
        <f>IF(Tabell2[[#This Row],[Kvinneandel]]&lt;=G$434,G$434,IF(Tabell2[[#This Row],[Kvinneandel]]&gt;=G$435,G$435,Tabell2[[#This Row],[Kvinneandel]]))</f>
        <v>0.10430839002267574</v>
      </c>
      <c r="R143" s="24">
        <f>IF(Tabell2[[#This Row],[Eldreandel]]&lt;=H$434,H$434,IF(Tabell2[[#This Row],[Eldreandel]]&gt;=H$435,H$435,Tabell2[[#This Row],[Eldreandel]]))</f>
        <v>0.17006802721088435</v>
      </c>
      <c r="S143" s="24">
        <f>IF(Tabell2[[#This Row],[Sysselsettingsvekst10]]&lt;=I$434,I$434,IF(Tabell2[[#This Row],[Sysselsettingsvekst10]]&gt;=I$435,I$435,Tabell2[[#This Row],[Sysselsettingsvekst10]]))</f>
        <v>-9.3457943925233655E-3</v>
      </c>
      <c r="T143" s="24">
        <f>IF(Tabell2[[#This Row],[Yrkesaktivandel]]&lt;=J$434,J$434,IF(Tabell2[[#This Row],[Yrkesaktivandel]]&gt;=J$435,J$435,Tabell2[[#This Row],[Yrkesaktivandel]]))</f>
        <v>0.88331071913161463</v>
      </c>
      <c r="U143" s="24">
        <f>IF(Tabell2[[#This Row],[Inntekt]]&lt;=K$434,K$434,IF(Tabell2[[#This Row],[Inntekt]]&gt;=K$435,K$435,Tabell2[[#This Row],[Inntekt]]))</f>
        <v>354000</v>
      </c>
      <c r="V143" s="7">
        <f>IF(Tabell2[[#This Row],[NIBR11-T]]&lt;=L$437,100,IF(Tabell2[[#This Row],[NIBR11-T]]&gt;=L$436,0,100*(L$436-Tabell2[[#This Row],[NIBR11-T]])/L$439))</f>
        <v>0</v>
      </c>
      <c r="W143" s="7">
        <f>(M$436-Tabell2[[#This Row],[ReisetidOslo-T]])*100/M$439</f>
        <v>37.93345521024402</v>
      </c>
      <c r="X143" s="7">
        <f>100-(N$436-Tabell2[[#This Row],[Beftettland-T]])*100/N$439</f>
        <v>0</v>
      </c>
      <c r="Y143" s="7">
        <f>100-(O$436-Tabell2[[#This Row],[Beftettotal-T]])*100/O$439</f>
        <v>0</v>
      </c>
      <c r="Z143" s="7">
        <f>100-(P$436-Tabell2[[#This Row],[Befvekst10-T]])*100/P$439</f>
        <v>15.163034642309128</v>
      </c>
      <c r="AA143" s="7">
        <f>100-(Q$436-Tabell2[[#This Row],[Kvinneandel-T]])*100/Q$439</f>
        <v>38.845109359748164</v>
      </c>
      <c r="AB143" s="7">
        <f>(R$436-Tabell2[[#This Row],[Eldreandel-T]])*100/R$439</f>
        <v>54.244355227386052</v>
      </c>
      <c r="AC143" s="7">
        <f>100-(S$436-Tabell2[[#This Row],[Sysselsettingsvekst10-T]])*100/S$439</f>
        <v>27.16039550222078</v>
      </c>
      <c r="AD143" s="7">
        <f>100-(T$436-Tabell2[[#This Row],[Yrkesaktivandel-T]])*100/T$439</f>
        <v>59.545455764183679</v>
      </c>
      <c r="AE143" s="7">
        <f>100-(U$436-Tabell2[[#This Row],[Inntekt-T]])*100/U$439</f>
        <v>10.822706240830613</v>
      </c>
      <c r="AF143" s="7">
        <v>0</v>
      </c>
      <c r="AG143" s="7">
        <v>3.7933455210244023</v>
      </c>
      <c r="AH143" s="7">
        <v>0</v>
      </c>
      <c r="AI143" s="7">
        <v>3.032606928461826</v>
      </c>
      <c r="AJ143" s="7">
        <v>1.9422554679874082</v>
      </c>
      <c r="AK143" s="7">
        <v>2.7122177613693026</v>
      </c>
      <c r="AL143" s="7">
        <v>2.716039550222078</v>
      </c>
      <c r="AM143" s="7">
        <v>5.9545455764183686</v>
      </c>
      <c r="AN143" s="7">
        <v>1.0822706240830613</v>
      </c>
      <c r="AO14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21.23328142956645</v>
      </c>
    </row>
    <row r="144" spans="1:41" x14ac:dyDescent="0.3">
      <c r="A144" s="2" t="s">
        <v>141</v>
      </c>
      <c r="B144">
        <f>'Rådata-K'!N143</f>
        <v>10</v>
      </c>
      <c r="C144" s="7">
        <f>'Rådata-K'!M143</f>
        <v>175.6</v>
      </c>
      <c r="D144" s="24">
        <f>'Rådata-K'!O143</f>
        <v>2.4829202502818988</v>
      </c>
      <c r="E144" s="24">
        <f>'Rådata-K'!P143</f>
        <v>2.2814074435234843</v>
      </c>
      <c r="F144" s="24">
        <f>'Rådata-K'!Q143</f>
        <v>-7.0748862225899822E-2</v>
      </c>
      <c r="G144" s="24">
        <f>'Rådata-K'!R143</f>
        <v>8.1032947462154947E-2</v>
      </c>
      <c r="H144" s="24">
        <f>'Rådata-K'!S143</f>
        <v>0.1856634016028495</v>
      </c>
      <c r="I144" s="24">
        <f>'Rådata-K'!T143</f>
        <v>-2.4390243902439046E-2</v>
      </c>
      <c r="J144" s="24">
        <f>'Rådata-K'!U143</f>
        <v>0.92908944399677684</v>
      </c>
      <c r="K144" s="24">
        <f>'Rådata-K'!L143</f>
        <v>390200</v>
      </c>
      <c r="L144" s="24">
        <f>Tabell2[[#This Row],[NIBR11]]</f>
        <v>10</v>
      </c>
      <c r="M144" s="24">
        <f>IF(Tabell2[[#This Row],[ReisetidOslo]]&lt;=C$434,C$434,IF(Tabell2[[#This Row],[ReisetidOslo]]&gt;=C$435,C$435,Tabell2[[#This Row],[ReisetidOslo]]))</f>
        <v>175.6</v>
      </c>
      <c r="N144" s="24">
        <f>IF(Tabell2[[#This Row],[Beftettland]]&lt;=D$434,D$434,IF(Tabell2[[#This Row],[Beftettland]]&gt;=D$435,D$435,Tabell2[[#This Row],[Beftettland]]))</f>
        <v>2.4829202502818988</v>
      </c>
      <c r="O144" s="24">
        <f>IF(Tabell2[[#This Row],[Beftettotal]]&lt;=E$434,E$434,IF(Tabell2[[#This Row],[Beftettotal]]&gt;=E$435,E$435,Tabell2[[#This Row],[Beftettotal]]))</f>
        <v>2.2814074435234843</v>
      </c>
      <c r="P144" s="24">
        <f>IF(Tabell2[[#This Row],[Befvekst10]]&lt;=F$434,F$434,IF(Tabell2[[#This Row],[Befvekst10]]&gt;=F$435,F$435,Tabell2[[#This Row],[Befvekst10]]))</f>
        <v>-7.0748862225899822E-2</v>
      </c>
      <c r="Q144" s="24">
        <f>IF(Tabell2[[#This Row],[Kvinneandel]]&lt;=G$434,G$434,IF(Tabell2[[#This Row],[Kvinneandel]]&gt;=G$435,G$435,Tabell2[[#This Row],[Kvinneandel]]))</f>
        <v>8.9521819157910881E-2</v>
      </c>
      <c r="R144" s="24">
        <f>IF(Tabell2[[#This Row],[Eldreandel]]&lt;=H$434,H$434,IF(Tabell2[[#This Row],[Eldreandel]]&gt;=H$435,H$435,Tabell2[[#This Row],[Eldreandel]]))</f>
        <v>0.1856634016028495</v>
      </c>
      <c r="S144" s="24">
        <f>IF(Tabell2[[#This Row],[Sysselsettingsvekst10]]&lt;=I$434,I$434,IF(Tabell2[[#This Row],[Sysselsettingsvekst10]]&gt;=I$435,I$435,Tabell2[[#This Row],[Sysselsettingsvekst10]]))</f>
        <v>-2.4390243902439046E-2</v>
      </c>
      <c r="T144" s="24">
        <f>IF(Tabell2[[#This Row],[Yrkesaktivandel]]&lt;=J$434,J$434,IF(Tabell2[[#This Row],[Yrkesaktivandel]]&gt;=J$435,J$435,Tabell2[[#This Row],[Yrkesaktivandel]]))</f>
        <v>0.92908944399677684</v>
      </c>
      <c r="U144" s="24">
        <f>IF(Tabell2[[#This Row],[Inntekt]]&lt;=K$434,K$434,IF(Tabell2[[#This Row],[Inntekt]]&gt;=K$435,K$435,Tabell2[[#This Row],[Inntekt]]))</f>
        <v>390200</v>
      </c>
      <c r="V144" s="7">
        <f>IF(Tabell2[[#This Row],[NIBR11-T]]&lt;=L$437,100,IF(Tabell2[[#This Row],[NIBR11-T]]&gt;=L$436,0,100*(L$436-Tabell2[[#This Row],[NIBR11-T]])/L$439))</f>
        <v>10</v>
      </c>
      <c r="W144" s="7">
        <f>(M$436-Tabell2[[#This Row],[ReisetidOslo-T]])*100/M$439</f>
        <v>46.00658135283917</v>
      </c>
      <c r="X144" s="7">
        <f>100-(N$436-Tabell2[[#This Row],[Beftettland-T]])*100/N$439</f>
        <v>0.79915955872520783</v>
      </c>
      <c r="Y144" s="7">
        <f>100-(O$436-Tabell2[[#This Row],[Beftettotal-T]])*100/O$439</f>
        <v>0.73738077704929594</v>
      </c>
      <c r="Z144" s="7">
        <f>100-(P$436-Tabell2[[#This Row],[Befvekst10-T]])*100/P$439</f>
        <v>0.12709515612732503</v>
      </c>
      <c r="AA144" s="7">
        <f>100-(Q$436-Tabell2[[#This Row],[Kvinneandel-T]])*100/Q$439</f>
        <v>0</v>
      </c>
      <c r="AB144" s="7">
        <f>(R$436-Tabell2[[#This Row],[Eldreandel-T]])*100/R$439</f>
        <v>37.41297202915996</v>
      </c>
      <c r="AC144" s="7">
        <f>100-(S$436-Tabell2[[#This Row],[Sysselsettingsvekst10-T]])*100/S$439</f>
        <v>22.250619834231259</v>
      </c>
      <c r="AD144" s="7">
        <f>100-(T$436-Tabell2[[#This Row],[Yrkesaktivandel-T]])*100/T$439</f>
        <v>91.832907610461035</v>
      </c>
      <c r="AE144" s="7">
        <f>100-(U$436-Tabell2[[#This Row],[Inntekt-T]])*100/U$439</f>
        <v>51.67588308317346</v>
      </c>
      <c r="AF144" s="7">
        <v>2</v>
      </c>
      <c r="AG144" s="7">
        <v>4.6006581352839175</v>
      </c>
      <c r="AH144" s="7">
        <v>7.37380777049296E-2</v>
      </c>
      <c r="AI144" s="7">
        <v>2.5419031225465006E-2</v>
      </c>
      <c r="AJ144" s="7">
        <v>0</v>
      </c>
      <c r="AK144" s="7">
        <v>1.8706486014579982</v>
      </c>
      <c r="AL144" s="7">
        <v>2.2250619834231258</v>
      </c>
      <c r="AM144" s="7">
        <v>9.1832907610461039</v>
      </c>
      <c r="AN144" s="7">
        <v>5.1675883083173462</v>
      </c>
      <c r="AO14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25.146404898458886</v>
      </c>
    </row>
    <row r="145" spans="1:41" x14ac:dyDescent="0.3">
      <c r="A145" s="2" t="s">
        <v>142</v>
      </c>
      <c r="B145">
        <f>'Rådata-K'!N144</f>
        <v>10</v>
      </c>
      <c r="C145" s="7">
        <f>'Rådata-K'!M144</f>
        <v>168.283333333</v>
      </c>
      <c r="D145" s="24">
        <f>'Rådata-K'!O144</f>
        <v>1.3677917521460055</v>
      </c>
      <c r="E145" s="24">
        <f>'Rådata-K'!P144</f>
        <v>1.1999974242072997</v>
      </c>
      <c r="F145" s="24">
        <f>'Rådata-K'!Q144</f>
        <v>8.9334055224687958E-3</v>
      </c>
      <c r="G145" s="24">
        <f>'Rådata-K'!R144</f>
        <v>0.10839817547625435</v>
      </c>
      <c r="H145" s="24">
        <f>'Rådata-K'!S144</f>
        <v>0.17762275288435739</v>
      </c>
      <c r="I145" s="24">
        <f>'Rådata-K'!T144</f>
        <v>8.973570989551316E-2</v>
      </c>
      <c r="J145" s="24">
        <f>'Rådata-K'!U144</f>
        <v>0.95278564683663836</v>
      </c>
      <c r="K145" s="24">
        <f>'Rådata-K'!L144</f>
        <v>400500</v>
      </c>
      <c r="L145" s="24">
        <f>Tabell2[[#This Row],[NIBR11]]</f>
        <v>10</v>
      </c>
      <c r="M145" s="24">
        <f>IF(Tabell2[[#This Row],[ReisetidOslo]]&lt;=C$434,C$434,IF(Tabell2[[#This Row],[ReisetidOslo]]&gt;=C$435,C$435,Tabell2[[#This Row],[ReisetidOslo]]))</f>
        <v>168.283333333</v>
      </c>
      <c r="N145" s="24">
        <f>IF(Tabell2[[#This Row],[Beftettland]]&lt;=D$434,D$434,IF(Tabell2[[#This Row],[Beftettland]]&gt;=D$435,D$435,Tabell2[[#This Row],[Beftettland]]))</f>
        <v>1.4025423756281519</v>
      </c>
      <c r="O145" s="24">
        <f>IF(Tabell2[[#This Row],[Beftettotal]]&lt;=E$434,E$434,IF(Tabell2[[#This Row],[Beftettotal]]&gt;=E$435,E$435,Tabell2[[#This Row],[Beftettotal]]))</f>
        <v>1.3180632767674032</v>
      </c>
      <c r="P145" s="24">
        <f>IF(Tabell2[[#This Row],[Befvekst10]]&lt;=F$434,F$434,IF(Tabell2[[#This Row],[Befvekst10]]&gt;=F$435,F$435,Tabell2[[#This Row],[Befvekst10]]))</f>
        <v>8.9334055224687958E-3</v>
      </c>
      <c r="Q145" s="24">
        <f>IF(Tabell2[[#This Row],[Kvinneandel]]&lt;=G$434,G$434,IF(Tabell2[[#This Row],[Kvinneandel]]&gt;=G$435,G$435,Tabell2[[#This Row],[Kvinneandel]]))</f>
        <v>0.10839817547625435</v>
      </c>
      <c r="R145" s="24">
        <f>IF(Tabell2[[#This Row],[Eldreandel]]&lt;=H$434,H$434,IF(Tabell2[[#This Row],[Eldreandel]]&gt;=H$435,H$435,Tabell2[[#This Row],[Eldreandel]]))</f>
        <v>0.17762275288435739</v>
      </c>
      <c r="S145" s="24">
        <f>IF(Tabell2[[#This Row],[Sysselsettingsvekst10]]&lt;=I$434,I$434,IF(Tabell2[[#This Row],[Sysselsettingsvekst10]]&gt;=I$435,I$435,Tabell2[[#This Row],[Sysselsettingsvekst10]]))</f>
        <v>8.973570989551316E-2</v>
      </c>
      <c r="T145" s="24">
        <f>IF(Tabell2[[#This Row],[Yrkesaktivandel]]&lt;=J$434,J$434,IF(Tabell2[[#This Row],[Yrkesaktivandel]]&gt;=J$435,J$435,Tabell2[[#This Row],[Yrkesaktivandel]]))</f>
        <v>0.94066914614326791</v>
      </c>
      <c r="U145" s="24">
        <f>IF(Tabell2[[#This Row],[Inntekt]]&lt;=K$434,K$434,IF(Tabell2[[#This Row],[Inntekt]]&gt;=K$435,K$435,Tabell2[[#This Row],[Inntekt]]))</f>
        <v>400500</v>
      </c>
      <c r="V145" s="7">
        <f>IF(Tabell2[[#This Row],[NIBR11-T]]&lt;=L$437,100,IF(Tabell2[[#This Row],[NIBR11-T]]&gt;=L$436,0,100*(L$436-Tabell2[[#This Row],[NIBR11-T]])/L$439))</f>
        <v>10</v>
      </c>
      <c r="W145" s="7">
        <f>(M$436-Tabell2[[#This Row],[ReisetidOslo-T]])*100/M$439</f>
        <v>49.216819012948527</v>
      </c>
      <c r="X145" s="7">
        <f>100-(N$436-Tabell2[[#This Row],[Beftettland-T]])*100/N$439</f>
        <v>0</v>
      </c>
      <c r="Y145" s="7">
        <f>100-(O$436-Tabell2[[#This Row],[Beftettotal-T]])*100/O$439</f>
        <v>0</v>
      </c>
      <c r="Z145" s="7">
        <f>100-(P$436-Tabell2[[#This Row],[Befvekst10-T]])*100/P$439</f>
        <v>32.379373654165491</v>
      </c>
      <c r="AA145" s="7">
        <f>100-(Q$436-Tabell2[[#This Row],[Kvinneandel-T]])*100/Q$439</f>
        <v>49.589193613977656</v>
      </c>
      <c r="AB145" s="7">
        <f>(R$436-Tabell2[[#This Row],[Eldreandel-T]])*100/R$439</f>
        <v>46.09088102588094</v>
      </c>
      <c r="AC145" s="7">
        <f>100-(S$436-Tabell2[[#This Row],[Sysselsettingsvekst10-T]])*100/S$439</f>
        <v>59.49577331585067</v>
      </c>
      <c r="AD145" s="7">
        <f>100-(T$436-Tabell2[[#This Row],[Yrkesaktivandel-T]])*100/T$439</f>
        <v>100</v>
      </c>
      <c r="AE145" s="7">
        <f>100-(U$436-Tabell2[[#This Row],[Inntekt-T]])*100/U$439</f>
        <v>63.299853289696422</v>
      </c>
      <c r="AF145" s="7">
        <v>2</v>
      </c>
      <c r="AG145" s="7">
        <v>4.9216819012948534</v>
      </c>
      <c r="AH145" s="7">
        <v>0</v>
      </c>
      <c r="AI145" s="7">
        <v>6.4758747308330982</v>
      </c>
      <c r="AJ145" s="7">
        <v>2.4794596806988829</v>
      </c>
      <c r="AK145" s="7">
        <v>2.3045440512940472</v>
      </c>
      <c r="AL145" s="7">
        <v>5.9495773315850675</v>
      </c>
      <c r="AM145" s="7">
        <v>10</v>
      </c>
      <c r="AN145" s="7">
        <v>6.3299853289696424</v>
      </c>
      <c r="AO14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40.461123024675587</v>
      </c>
    </row>
    <row r="146" spans="1:41" x14ac:dyDescent="0.3">
      <c r="A146" s="2" t="s">
        <v>143</v>
      </c>
      <c r="B146">
        <f>'Rådata-K'!N145</f>
        <v>5</v>
      </c>
      <c r="C146" s="7">
        <f>'Rådata-K'!M145</f>
        <v>159.41666666699999</v>
      </c>
      <c r="D146" s="24">
        <f>'Rådata-K'!O145</f>
        <v>38.652739764285315</v>
      </c>
      <c r="E146" s="24">
        <f>'Rådata-K'!P145</f>
        <v>35.858638200849832</v>
      </c>
      <c r="F146" s="24">
        <f>'Rådata-K'!Q145</f>
        <v>8.305405799213128E-3</v>
      </c>
      <c r="G146" s="24">
        <f>'Rådata-K'!R145</f>
        <v>0.10202312138728324</v>
      </c>
      <c r="H146" s="24">
        <f>'Rådata-K'!S145</f>
        <v>0.18569364161849711</v>
      </c>
      <c r="I146" s="24">
        <f>'Rådata-K'!T145</f>
        <v>-1.1632415664986406E-2</v>
      </c>
      <c r="J146" s="24">
        <f>'Rådata-K'!U145</f>
        <v>0.77947259565667015</v>
      </c>
      <c r="K146" s="24">
        <f>'Rådata-K'!L145</f>
        <v>372000</v>
      </c>
      <c r="L146" s="24">
        <f>Tabell2[[#This Row],[NIBR11]]</f>
        <v>5</v>
      </c>
      <c r="M146" s="24">
        <f>IF(Tabell2[[#This Row],[ReisetidOslo]]&lt;=C$434,C$434,IF(Tabell2[[#This Row],[ReisetidOslo]]&gt;=C$435,C$435,Tabell2[[#This Row],[ReisetidOslo]]))</f>
        <v>159.41666666699999</v>
      </c>
      <c r="N146" s="24">
        <f>IF(Tabell2[[#This Row],[Beftettland]]&lt;=D$434,D$434,IF(Tabell2[[#This Row],[Beftettland]]&gt;=D$435,D$435,Tabell2[[#This Row],[Beftettland]]))</f>
        <v>38.652739764285315</v>
      </c>
      <c r="O146" s="24">
        <f>IF(Tabell2[[#This Row],[Beftettotal]]&lt;=E$434,E$434,IF(Tabell2[[#This Row],[Beftettotal]]&gt;=E$435,E$435,Tabell2[[#This Row],[Beftettotal]]))</f>
        <v>35.858638200849832</v>
      </c>
      <c r="P146" s="24">
        <f>IF(Tabell2[[#This Row],[Befvekst10]]&lt;=F$434,F$434,IF(Tabell2[[#This Row],[Befvekst10]]&gt;=F$435,F$435,Tabell2[[#This Row],[Befvekst10]]))</f>
        <v>8.305405799213128E-3</v>
      </c>
      <c r="Q146" s="24">
        <f>IF(Tabell2[[#This Row],[Kvinneandel]]&lt;=G$434,G$434,IF(Tabell2[[#This Row],[Kvinneandel]]&gt;=G$435,G$435,Tabell2[[#This Row],[Kvinneandel]]))</f>
        <v>0.10202312138728324</v>
      </c>
      <c r="R146" s="24">
        <f>IF(Tabell2[[#This Row],[Eldreandel]]&lt;=H$434,H$434,IF(Tabell2[[#This Row],[Eldreandel]]&gt;=H$435,H$435,Tabell2[[#This Row],[Eldreandel]]))</f>
        <v>0.18569364161849711</v>
      </c>
      <c r="S146" s="24">
        <f>IF(Tabell2[[#This Row],[Sysselsettingsvekst10]]&lt;=I$434,I$434,IF(Tabell2[[#This Row],[Sysselsettingsvekst10]]&gt;=I$435,I$435,Tabell2[[#This Row],[Sysselsettingsvekst10]]))</f>
        <v>-1.1632415664986406E-2</v>
      </c>
      <c r="T146" s="24">
        <f>IF(Tabell2[[#This Row],[Yrkesaktivandel]]&lt;=J$434,J$434,IF(Tabell2[[#This Row],[Yrkesaktivandel]]&gt;=J$435,J$435,Tabell2[[#This Row],[Yrkesaktivandel]]))</f>
        <v>0.79888426611272945</v>
      </c>
      <c r="U146" s="24">
        <f>IF(Tabell2[[#This Row],[Inntekt]]&lt;=K$434,K$434,IF(Tabell2[[#This Row],[Inntekt]]&gt;=K$435,K$435,Tabell2[[#This Row],[Inntekt]]))</f>
        <v>372000</v>
      </c>
      <c r="V146" s="7">
        <f>IF(Tabell2[[#This Row],[NIBR11-T]]&lt;=L$437,100,IF(Tabell2[[#This Row],[NIBR11-T]]&gt;=L$436,0,100*(L$436-Tabell2[[#This Row],[NIBR11-T]])/L$439))</f>
        <v>60</v>
      </c>
      <c r="W146" s="7">
        <f>(M$436-Tabell2[[#This Row],[ReisetidOslo-T]])*100/M$439</f>
        <v>53.107129798761662</v>
      </c>
      <c r="X146" s="7">
        <f>100-(N$436-Tabell2[[#This Row],[Beftettland-T]])*100/N$439</f>
        <v>27.554110469993674</v>
      </c>
      <c r="Y146" s="7">
        <f>100-(O$436-Tabell2[[#This Row],[Beftettotal-T]])*100/O$439</f>
        <v>26.438688120170099</v>
      </c>
      <c r="Z146" s="7">
        <f>100-(P$436-Tabell2[[#This Row],[Befvekst10-T]])*100/P$439</f>
        <v>32.125183825694563</v>
      </c>
      <c r="AA146" s="7">
        <f>100-(Q$436-Tabell2[[#This Row],[Kvinneandel-T]])*100/Q$439</f>
        <v>32.841586915625641</v>
      </c>
      <c r="AB146" s="7">
        <f>(R$436-Tabell2[[#This Row],[Eldreandel-T]])*100/R$439</f>
        <v>37.380335346096587</v>
      </c>
      <c r="AC146" s="7">
        <f>100-(S$436-Tabell2[[#This Row],[Sysselsettingsvekst10-T]])*100/S$439</f>
        <v>26.414153675423023</v>
      </c>
      <c r="AD146" s="7">
        <f>100-(T$436-Tabell2[[#This Row],[Yrkesaktivandel-T]])*100/T$439</f>
        <v>0</v>
      </c>
      <c r="AE146" s="7">
        <f>100-(U$436-Tabell2[[#This Row],[Inntekt-T]])*100/U$439</f>
        <v>31.136440582327054</v>
      </c>
      <c r="AF146" s="7">
        <v>12</v>
      </c>
      <c r="AG146" s="7">
        <v>5.3107129798761665</v>
      </c>
      <c r="AH146" s="7">
        <v>2.64386881201701</v>
      </c>
      <c r="AI146" s="7">
        <v>6.4250367651389126</v>
      </c>
      <c r="AJ146" s="7">
        <v>1.6420793457812821</v>
      </c>
      <c r="AK146" s="7">
        <v>1.8690167673048295</v>
      </c>
      <c r="AL146" s="7">
        <v>2.6414153675423027</v>
      </c>
      <c r="AM146" s="7">
        <v>0</v>
      </c>
      <c r="AN146" s="7">
        <v>3.1136440582327056</v>
      </c>
      <c r="AO14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35.645774095893209</v>
      </c>
    </row>
    <row r="147" spans="1:41" x14ac:dyDescent="0.3">
      <c r="A147" s="2" t="s">
        <v>144</v>
      </c>
      <c r="B147">
        <f>'Rådata-K'!N146</f>
        <v>4</v>
      </c>
      <c r="C147" s="7">
        <f>'Rådata-K'!M146</f>
        <v>175.76666666670002</v>
      </c>
      <c r="D147" s="24">
        <f>'Rådata-K'!O146</f>
        <v>82.791790578991808</v>
      </c>
      <c r="E147" s="24">
        <f>'Rådata-K'!P146</f>
        <v>74.277808886985724</v>
      </c>
      <c r="F147" s="24">
        <f>'Rådata-K'!Q146</f>
        <v>0.17301290054099039</v>
      </c>
      <c r="G147" s="24">
        <f>'Rådata-K'!R146</f>
        <v>0.12815964523281598</v>
      </c>
      <c r="H147" s="24">
        <f>'Rådata-K'!S146</f>
        <v>0.13490022172949001</v>
      </c>
      <c r="I147" s="24">
        <f>'Rådata-K'!T146</f>
        <v>4.367144852101057E-2</v>
      </c>
      <c r="J147" s="24">
        <f>'Rådata-K'!U146</f>
        <v>0.7804376000609895</v>
      </c>
      <c r="K147" s="24">
        <f>'Rådata-K'!L146</f>
        <v>416100</v>
      </c>
      <c r="L147" s="24">
        <f>Tabell2[[#This Row],[NIBR11]]</f>
        <v>4</v>
      </c>
      <c r="M147" s="24">
        <f>IF(Tabell2[[#This Row],[ReisetidOslo]]&lt;=C$434,C$434,IF(Tabell2[[#This Row],[ReisetidOslo]]&gt;=C$435,C$435,Tabell2[[#This Row],[ReisetidOslo]]))</f>
        <v>175.76666666670002</v>
      </c>
      <c r="N147" s="24">
        <f>IF(Tabell2[[#This Row],[Beftettland]]&lt;=D$434,D$434,IF(Tabell2[[#This Row],[Beftettland]]&gt;=D$435,D$435,Tabell2[[#This Row],[Beftettland]]))</f>
        <v>82.791790578991808</v>
      </c>
      <c r="O147" s="24">
        <f>IF(Tabell2[[#This Row],[Beftettotal]]&lt;=E$434,E$434,IF(Tabell2[[#This Row],[Beftettotal]]&gt;=E$435,E$435,Tabell2[[#This Row],[Beftettotal]]))</f>
        <v>74.277808886985724</v>
      </c>
      <c r="P147" s="24">
        <f>IF(Tabell2[[#This Row],[Befvekst10]]&lt;=F$434,F$434,IF(Tabell2[[#This Row],[Befvekst10]]&gt;=F$435,F$435,Tabell2[[#This Row],[Befvekst10]]))</f>
        <v>0.17301290054099039</v>
      </c>
      <c r="Q147" s="24">
        <f>IF(Tabell2[[#This Row],[Kvinneandel]]&lt;=G$434,G$434,IF(Tabell2[[#This Row],[Kvinneandel]]&gt;=G$435,G$435,Tabell2[[#This Row],[Kvinneandel]]))</f>
        <v>0.12758728250318055</v>
      </c>
      <c r="R147" s="24">
        <f>IF(Tabell2[[#This Row],[Eldreandel]]&lt;=H$434,H$434,IF(Tabell2[[#This Row],[Eldreandel]]&gt;=H$435,H$435,Tabell2[[#This Row],[Eldreandel]]))</f>
        <v>0.13490022172949001</v>
      </c>
      <c r="S147" s="24">
        <f>IF(Tabell2[[#This Row],[Sysselsettingsvekst10]]&lt;=I$434,I$434,IF(Tabell2[[#This Row],[Sysselsettingsvekst10]]&gt;=I$435,I$435,Tabell2[[#This Row],[Sysselsettingsvekst10]]))</f>
        <v>4.367144852101057E-2</v>
      </c>
      <c r="T147" s="24">
        <f>IF(Tabell2[[#This Row],[Yrkesaktivandel]]&lt;=J$434,J$434,IF(Tabell2[[#This Row],[Yrkesaktivandel]]&gt;=J$435,J$435,Tabell2[[#This Row],[Yrkesaktivandel]]))</f>
        <v>0.79888426611272945</v>
      </c>
      <c r="U147" s="24">
        <f>IF(Tabell2[[#This Row],[Inntekt]]&lt;=K$434,K$434,IF(Tabell2[[#This Row],[Inntekt]]&gt;=K$435,K$435,Tabell2[[#This Row],[Inntekt]]))</f>
        <v>416100</v>
      </c>
      <c r="V147" s="7">
        <f>IF(Tabell2[[#This Row],[NIBR11-T]]&lt;=L$437,100,IF(Tabell2[[#This Row],[NIBR11-T]]&gt;=L$436,0,100*(L$436-Tabell2[[#This Row],[NIBR11-T]])/L$439))</f>
        <v>70</v>
      </c>
      <c r="W147" s="7">
        <f>(M$436-Tabell2[[#This Row],[ReisetidOslo-T]])*100/M$439</f>
        <v>45.933455210228566</v>
      </c>
      <c r="X147" s="7">
        <f>100-(N$436-Tabell2[[#This Row],[Beftettland-T]])*100/N$439</f>
        <v>60.203931610523476</v>
      </c>
      <c r="Y147" s="7">
        <f>100-(O$436-Tabell2[[#This Row],[Beftettotal-T]])*100/O$439</f>
        <v>55.846203016458716</v>
      </c>
      <c r="Z147" s="7">
        <f>100-(P$436-Tabell2[[#This Row],[Befvekst10-T]])*100/P$439</f>
        <v>98.792362625142317</v>
      </c>
      <c r="AA147" s="7">
        <f>100-(Q$436-Tabell2[[#This Row],[Kvinneandel-T]])*100/Q$439</f>
        <v>100</v>
      </c>
      <c r="AB147" s="7">
        <f>(R$436-Tabell2[[#This Row],[Eldreandel-T]])*100/R$439</f>
        <v>92.199379289071089</v>
      </c>
      <c r="AC147" s="7">
        <f>100-(S$436-Tabell2[[#This Row],[Sysselsettingsvekst10-T]])*100/S$439</f>
        <v>44.462641694027006</v>
      </c>
      <c r="AD147" s="7">
        <f>100-(T$436-Tabell2[[#This Row],[Yrkesaktivandel-T]])*100/T$439</f>
        <v>0</v>
      </c>
      <c r="AE147" s="7">
        <f>100-(U$436-Tabell2[[#This Row],[Inntekt-T]])*100/U$439</f>
        <v>80.905089718993338</v>
      </c>
      <c r="AF147" s="7">
        <v>14</v>
      </c>
      <c r="AG147" s="7">
        <v>4.5933455210228571</v>
      </c>
      <c r="AH147" s="7">
        <v>5.584620301645872</v>
      </c>
      <c r="AI147" s="7">
        <v>19.758472525028466</v>
      </c>
      <c r="AJ147" s="7">
        <v>5</v>
      </c>
      <c r="AK147" s="7">
        <v>4.6099689644535546</v>
      </c>
      <c r="AL147" s="7">
        <v>4.446264169402701</v>
      </c>
      <c r="AM147" s="7">
        <v>0</v>
      </c>
      <c r="AN147" s="7">
        <v>8.0905089718993342</v>
      </c>
      <c r="AO14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66.083180453452798</v>
      </c>
    </row>
    <row r="148" spans="1:41" x14ac:dyDescent="0.3">
      <c r="A148" s="2" t="s">
        <v>145</v>
      </c>
      <c r="B148">
        <f>'Rådata-K'!N147</f>
        <v>4</v>
      </c>
      <c r="C148" s="7">
        <f>'Rådata-K'!M147</f>
        <v>179.1</v>
      </c>
      <c r="D148" s="24">
        <f>'Rådata-K'!O147</f>
        <v>173.68111624990203</v>
      </c>
      <c r="E148" s="24">
        <f>'Rådata-K'!P147</f>
        <v>164.07968304513645</v>
      </c>
      <c r="F148" s="24">
        <f>'Rådata-K'!Q147</f>
        <v>0.11266509315522533</v>
      </c>
      <c r="G148" s="24">
        <f>'Rådata-K'!R147</f>
        <v>0.11901699275607609</v>
      </c>
      <c r="H148" s="24">
        <f>'Rådata-K'!S147</f>
        <v>0.15038476293638436</v>
      </c>
      <c r="I148" s="24">
        <f>'Rådata-K'!T147</f>
        <v>9.6010430247718492E-2</v>
      </c>
      <c r="J148" s="24">
        <f>'Rådata-K'!U147</f>
        <v>0.77249228395061731</v>
      </c>
      <c r="K148" s="24">
        <f>'Rådata-K'!L147</f>
        <v>394000</v>
      </c>
      <c r="L148" s="24">
        <f>Tabell2[[#This Row],[NIBR11]]</f>
        <v>4</v>
      </c>
      <c r="M148" s="24">
        <f>IF(Tabell2[[#This Row],[ReisetidOslo]]&lt;=C$434,C$434,IF(Tabell2[[#This Row],[ReisetidOslo]]&gt;=C$435,C$435,Tabell2[[#This Row],[ReisetidOslo]]))</f>
        <v>179.1</v>
      </c>
      <c r="N148" s="24">
        <f>IF(Tabell2[[#This Row],[Beftettland]]&lt;=D$434,D$434,IF(Tabell2[[#This Row],[Beftettland]]&gt;=D$435,D$435,Tabell2[[#This Row],[Beftettland]]))</f>
        <v>136.59179999736304</v>
      </c>
      <c r="O148" s="24">
        <f>IF(Tabell2[[#This Row],[Beftettotal]]&lt;=E$434,E$434,IF(Tabell2[[#This Row],[Beftettotal]]&gt;=E$435,E$435,Tabell2[[#This Row],[Beftettotal]]))</f>
        <v>131.96212083018065</v>
      </c>
      <c r="P148" s="24">
        <f>IF(Tabell2[[#This Row],[Befvekst10]]&lt;=F$434,F$434,IF(Tabell2[[#This Row],[Befvekst10]]&gt;=F$435,F$435,Tabell2[[#This Row],[Befvekst10]]))</f>
        <v>0.11266509315522533</v>
      </c>
      <c r="Q148" s="24">
        <f>IF(Tabell2[[#This Row],[Kvinneandel]]&lt;=G$434,G$434,IF(Tabell2[[#This Row],[Kvinneandel]]&gt;=G$435,G$435,Tabell2[[#This Row],[Kvinneandel]]))</f>
        <v>0.11901699275607609</v>
      </c>
      <c r="R148" s="24">
        <f>IF(Tabell2[[#This Row],[Eldreandel]]&lt;=H$434,H$434,IF(Tabell2[[#This Row],[Eldreandel]]&gt;=H$435,H$435,Tabell2[[#This Row],[Eldreandel]]))</f>
        <v>0.15038476293638436</v>
      </c>
      <c r="S148" s="24">
        <f>IF(Tabell2[[#This Row],[Sysselsettingsvekst10]]&lt;=I$434,I$434,IF(Tabell2[[#This Row],[Sysselsettingsvekst10]]&gt;=I$435,I$435,Tabell2[[#This Row],[Sysselsettingsvekst10]]))</f>
        <v>9.6010430247718492E-2</v>
      </c>
      <c r="T148" s="24">
        <f>IF(Tabell2[[#This Row],[Yrkesaktivandel]]&lt;=J$434,J$434,IF(Tabell2[[#This Row],[Yrkesaktivandel]]&gt;=J$435,J$435,Tabell2[[#This Row],[Yrkesaktivandel]]))</f>
        <v>0.79888426611272945</v>
      </c>
      <c r="U148" s="24">
        <f>IF(Tabell2[[#This Row],[Inntekt]]&lt;=K$434,K$434,IF(Tabell2[[#This Row],[Inntekt]]&gt;=K$435,K$435,Tabell2[[#This Row],[Inntekt]]))</f>
        <v>394000</v>
      </c>
      <c r="V148" s="7">
        <f>IF(Tabell2[[#This Row],[NIBR11-T]]&lt;=L$437,100,IF(Tabell2[[#This Row],[NIBR11-T]]&gt;=L$436,0,100*(L$436-Tabell2[[#This Row],[NIBR11-T]])/L$439))</f>
        <v>70</v>
      </c>
      <c r="W148" s="7">
        <f>(M$436-Tabell2[[#This Row],[ReisetidOslo-T]])*100/M$439</f>
        <v>44.470932358323786</v>
      </c>
      <c r="X148" s="7">
        <f>100-(N$436-Tabell2[[#This Row],[Beftettland-T]])*100/N$439</f>
        <v>100</v>
      </c>
      <c r="Y148" s="7">
        <f>100-(O$436-Tabell2[[#This Row],[Beftettotal-T]])*100/O$439</f>
        <v>100</v>
      </c>
      <c r="Z148" s="7">
        <f>100-(P$436-Tabell2[[#This Row],[Befvekst10-T]])*100/P$439</f>
        <v>74.365920638097975</v>
      </c>
      <c r="AA148" s="7">
        <f>100-(Q$436-Tabell2[[#This Row],[Kvinneandel-T]])*100/Q$439</f>
        <v>77.485392284947793</v>
      </c>
      <c r="AB148" s="7">
        <f>(R$436-Tabell2[[#This Row],[Eldreandel-T]])*100/R$439</f>
        <v>75.487613341583639</v>
      </c>
      <c r="AC148" s="7">
        <f>100-(S$436-Tabell2[[#This Row],[Sysselsettingsvekst10-T]])*100/S$439</f>
        <v>61.543536465202962</v>
      </c>
      <c r="AD148" s="7">
        <f>100-(T$436-Tabell2[[#This Row],[Yrkesaktivandel-T]])*100/T$439</f>
        <v>0</v>
      </c>
      <c r="AE148" s="7">
        <f>100-(U$436-Tabell2[[#This Row],[Inntekt-T]])*100/U$439</f>
        <v>55.964338110822709</v>
      </c>
      <c r="AF148" s="7">
        <v>14</v>
      </c>
      <c r="AG148" s="7">
        <v>4.4470932358323791</v>
      </c>
      <c r="AH148" s="7">
        <v>10</v>
      </c>
      <c r="AI148" s="7">
        <v>14.873184127619595</v>
      </c>
      <c r="AJ148" s="7">
        <v>3.8742696142473898</v>
      </c>
      <c r="AK148" s="7">
        <v>3.774380667079182</v>
      </c>
      <c r="AL148" s="7">
        <v>6.1543536465202964</v>
      </c>
      <c r="AM148" s="7">
        <v>0</v>
      </c>
      <c r="AN148" s="7">
        <v>5.5964338110822709</v>
      </c>
      <c r="AO14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62.719715102381116</v>
      </c>
    </row>
    <row r="149" spans="1:41" x14ac:dyDescent="0.3">
      <c r="A149" s="2" t="s">
        <v>146</v>
      </c>
      <c r="B149">
        <f>'Rådata-K'!N148</f>
        <v>5</v>
      </c>
      <c r="C149" s="7">
        <f>'Rådata-K'!M148</f>
        <v>146.4</v>
      </c>
      <c r="D149" s="24">
        <f>'Rådata-K'!O148</f>
        <v>8.0383552738501542</v>
      </c>
      <c r="E149" s="24">
        <f>'Rådata-K'!P148</f>
        <v>7.6767864903458127</v>
      </c>
      <c r="F149" s="24">
        <f>'Rådata-K'!Q148</f>
        <v>-1.3168395849960102E-2</v>
      </c>
      <c r="G149" s="24">
        <f>'Rådata-K'!R148</f>
        <v>0.101900525677315</v>
      </c>
      <c r="H149" s="24">
        <f>'Rådata-K'!S148</f>
        <v>0.1763040841083704</v>
      </c>
      <c r="I149" s="24">
        <f>'Rådata-K'!T148</f>
        <v>-7.6344086021505331E-2</v>
      </c>
      <c r="J149" s="24">
        <f>'Rådata-K'!U148</f>
        <v>0.78772919605077574</v>
      </c>
      <c r="K149" s="24">
        <f>'Rådata-K'!L148</f>
        <v>348200</v>
      </c>
      <c r="L149" s="24">
        <f>Tabell2[[#This Row],[NIBR11]]</f>
        <v>5</v>
      </c>
      <c r="M149" s="24">
        <f>IF(Tabell2[[#This Row],[ReisetidOslo]]&lt;=C$434,C$434,IF(Tabell2[[#This Row],[ReisetidOslo]]&gt;=C$435,C$435,Tabell2[[#This Row],[ReisetidOslo]]))</f>
        <v>146.4</v>
      </c>
      <c r="N149" s="24">
        <f>IF(Tabell2[[#This Row],[Beftettland]]&lt;=D$434,D$434,IF(Tabell2[[#This Row],[Beftettland]]&gt;=D$435,D$435,Tabell2[[#This Row],[Beftettland]]))</f>
        <v>8.0383552738501542</v>
      </c>
      <c r="O149" s="24">
        <f>IF(Tabell2[[#This Row],[Beftettotal]]&lt;=E$434,E$434,IF(Tabell2[[#This Row],[Beftettotal]]&gt;=E$435,E$435,Tabell2[[#This Row],[Beftettotal]]))</f>
        <v>7.6767864903458127</v>
      </c>
      <c r="P149" s="24">
        <f>IF(Tabell2[[#This Row],[Befvekst10]]&lt;=F$434,F$434,IF(Tabell2[[#This Row],[Befvekst10]]&gt;=F$435,F$435,Tabell2[[#This Row],[Befvekst10]]))</f>
        <v>-1.3168395849960102E-2</v>
      </c>
      <c r="Q149" s="24">
        <f>IF(Tabell2[[#This Row],[Kvinneandel]]&lt;=G$434,G$434,IF(Tabell2[[#This Row],[Kvinneandel]]&gt;=G$435,G$435,Tabell2[[#This Row],[Kvinneandel]]))</f>
        <v>0.101900525677315</v>
      </c>
      <c r="R149" s="24">
        <f>IF(Tabell2[[#This Row],[Eldreandel]]&lt;=H$434,H$434,IF(Tabell2[[#This Row],[Eldreandel]]&gt;=H$435,H$435,Tabell2[[#This Row],[Eldreandel]]))</f>
        <v>0.1763040841083704</v>
      </c>
      <c r="S149" s="24">
        <f>IF(Tabell2[[#This Row],[Sysselsettingsvekst10]]&lt;=I$434,I$434,IF(Tabell2[[#This Row],[Sysselsettingsvekst10]]&gt;=I$435,I$435,Tabell2[[#This Row],[Sysselsettingsvekst10]]))</f>
        <v>-7.6344086021505331E-2</v>
      </c>
      <c r="T149" s="24">
        <f>IF(Tabell2[[#This Row],[Yrkesaktivandel]]&lt;=J$434,J$434,IF(Tabell2[[#This Row],[Yrkesaktivandel]]&gt;=J$435,J$435,Tabell2[[#This Row],[Yrkesaktivandel]]))</f>
        <v>0.79888426611272945</v>
      </c>
      <c r="U149" s="24">
        <f>IF(Tabell2[[#This Row],[Inntekt]]&lt;=K$434,K$434,IF(Tabell2[[#This Row],[Inntekt]]&gt;=K$435,K$435,Tabell2[[#This Row],[Inntekt]]))</f>
        <v>348200</v>
      </c>
      <c r="V149" s="7">
        <f>IF(Tabell2[[#This Row],[NIBR11-T]]&lt;=L$437,100,IF(Tabell2[[#This Row],[NIBR11-T]]&gt;=L$436,0,100*(L$436-Tabell2[[#This Row],[NIBR11-T]])/L$439))</f>
        <v>60</v>
      </c>
      <c r="W149" s="7">
        <f>(M$436-Tabell2[[#This Row],[ReisetidOslo-T]])*100/M$439</f>
        <v>58.818281535653206</v>
      </c>
      <c r="X149" s="7">
        <f>100-(N$436-Tabell2[[#This Row],[Beftettland-T]])*100/N$439</f>
        <v>4.9085356447398283</v>
      </c>
      <c r="Y149" s="7">
        <f>100-(O$436-Tabell2[[#This Row],[Beftettotal-T]])*100/O$439</f>
        <v>4.8672119747801759</v>
      </c>
      <c r="Z149" s="7">
        <f>100-(P$436-Tabell2[[#This Row],[Befvekst10-T]])*100/P$439</f>
        <v>23.433425285539982</v>
      </c>
      <c r="AA149" s="7">
        <f>100-(Q$436-Tabell2[[#This Row],[Kvinneandel-T]])*100/Q$439</f>
        <v>32.519521454721513</v>
      </c>
      <c r="AB149" s="7">
        <f>(R$436-Tabell2[[#This Row],[Eldreandel-T]])*100/R$439</f>
        <v>47.51406067661172</v>
      </c>
      <c r="AC149" s="7">
        <f>100-(S$436-Tabell2[[#This Row],[Sysselsettingsvekst10-T]])*100/S$439</f>
        <v>5.2954158750143137</v>
      </c>
      <c r="AD149" s="7">
        <f>100-(T$436-Tabell2[[#This Row],[Yrkesaktivandel-T]])*100/T$439</f>
        <v>0</v>
      </c>
      <c r="AE149" s="7">
        <f>100-(U$436-Tabell2[[#This Row],[Inntekt-T]])*100/U$439</f>
        <v>4.2771696196817572</v>
      </c>
      <c r="AF149" s="7">
        <v>12</v>
      </c>
      <c r="AG149" s="7">
        <v>5.881828153565321</v>
      </c>
      <c r="AH149" s="7">
        <v>0.48672119747801762</v>
      </c>
      <c r="AI149" s="7">
        <v>4.6866850571079963</v>
      </c>
      <c r="AJ149" s="7">
        <v>1.6259760727360757</v>
      </c>
      <c r="AK149" s="7">
        <v>2.375703033830586</v>
      </c>
      <c r="AL149" s="7">
        <v>0.52954158750143143</v>
      </c>
      <c r="AM149" s="7">
        <v>0</v>
      </c>
      <c r="AN149" s="7">
        <v>0.42771696196817577</v>
      </c>
      <c r="AO14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28.014172064187608</v>
      </c>
    </row>
    <row r="150" spans="1:41" x14ac:dyDescent="0.3">
      <c r="A150" s="2" t="s">
        <v>147</v>
      </c>
      <c r="B150">
        <f>'Rådata-K'!N149</f>
        <v>4</v>
      </c>
      <c r="C150" s="7">
        <f>'Rådata-K'!M149</f>
        <v>154.383333333</v>
      </c>
      <c r="D150" s="24">
        <f>'Rådata-K'!O149</f>
        <v>6.3273043694449633</v>
      </c>
      <c r="E150" s="24">
        <f>'Rådata-K'!P149</f>
        <v>5.7247293687614231</v>
      </c>
      <c r="F150" s="24">
        <f>'Rådata-K'!Q149</f>
        <v>0.1011357490535425</v>
      </c>
      <c r="G150" s="24">
        <f>'Rådata-K'!R149</f>
        <v>0.11296660117878192</v>
      </c>
      <c r="H150" s="24">
        <f>'Rådata-K'!S149</f>
        <v>0.14931237721021612</v>
      </c>
      <c r="I150" s="24">
        <f>'Rådata-K'!T149</f>
        <v>-4.9668874172185129E-3</v>
      </c>
      <c r="J150" s="24">
        <f>'Rådata-K'!U149</f>
        <v>0.83753258036490008</v>
      </c>
      <c r="K150" s="24">
        <f>'Rådata-K'!L149</f>
        <v>355900</v>
      </c>
      <c r="L150" s="24">
        <f>Tabell2[[#This Row],[NIBR11]]</f>
        <v>4</v>
      </c>
      <c r="M150" s="24">
        <f>IF(Tabell2[[#This Row],[ReisetidOslo]]&lt;=C$434,C$434,IF(Tabell2[[#This Row],[ReisetidOslo]]&gt;=C$435,C$435,Tabell2[[#This Row],[ReisetidOslo]]))</f>
        <v>154.383333333</v>
      </c>
      <c r="N150" s="24">
        <f>IF(Tabell2[[#This Row],[Beftettland]]&lt;=D$434,D$434,IF(Tabell2[[#This Row],[Beftettland]]&gt;=D$435,D$435,Tabell2[[#This Row],[Beftettland]]))</f>
        <v>6.3273043694449633</v>
      </c>
      <c r="O150" s="24">
        <f>IF(Tabell2[[#This Row],[Beftettotal]]&lt;=E$434,E$434,IF(Tabell2[[#This Row],[Beftettotal]]&gt;=E$435,E$435,Tabell2[[#This Row],[Beftettotal]]))</f>
        <v>5.7247293687614231</v>
      </c>
      <c r="P150" s="24">
        <f>IF(Tabell2[[#This Row],[Befvekst10]]&lt;=F$434,F$434,IF(Tabell2[[#This Row],[Befvekst10]]&gt;=F$435,F$435,Tabell2[[#This Row],[Befvekst10]]))</f>
        <v>0.1011357490535425</v>
      </c>
      <c r="Q150" s="24">
        <f>IF(Tabell2[[#This Row],[Kvinneandel]]&lt;=G$434,G$434,IF(Tabell2[[#This Row],[Kvinneandel]]&gt;=G$435,G$435,Tabell2[[#This Row],[Kvinneandel]]))</f>
        <v>0.11296660117878192</v>
      </c>
      <c r="R150" s="24">
        <f>IF(Tabell2[[#This Row],[Eldreandel]]&lt;=H$434,H$434,IF(Tabell2[[#This Row],[Eldreandel]]&gt;=H$435,H$435,Tabell2[[#This Row],[Eldreandel]]))</f>
        <v>0.14931237721021612</v>
      </c>
      <c r="S150" s="24">
        <f>IF(Tabell2[[#This Row],[Sysselsettingsvekst10]]&lt;=I$434,I$434,IF(Tabell2[[#This Row],[Sysselsettingsvekst10]]&gt;=I$435,I$435,Tabell2[[#This Row],[Sysselsettingsvekst10]]))</f>
        <v>-4.9668874172185129E-3</v>
      </c>
      <c r="T150" s="24">
        <f>IF(Tabell2[[#This Row],[Yrkesaktivandel]]&lt;=J$434,J$434,IF(Tabell2[[#This Row],[Yrkesaktivandel]]&gt;=J$435,J$435,Tabell2[[#This Row],[Yrkesaktivandel]]))</f>
        <v>0.83753258036490008</v>
      </c>
      <c r="U150" s="24">
        <f>IF(Tabell2[[#This Row],[Inntekt]]&lt;=K$434,K$434,IF(Tabell2[[#This Row],[Inntekt]]&gt;=K$435,K$435,Tabell2[[#This Row],[Inntekt]]))</f>
        <v>355900</v>
      </c>
      <c r="V150" s="7">
        <f>IF(Tabell2[[#This Row],[NIBR11-T]]&lt;=L$437,100,IF(Tabell2[[#This Row],[NIBR11-T]]&gt;=L$436,0,100*(L$436-Tabell2[[#This Row],[NIBR11-T]])/L$439))</f>
        <v>70</v>
      </c>
      <c r="W150" s="7">
        <f>(M$436-Tabell2[[#This Row],[ReisetidOslo-T]])*100/M$439</f>
        <v>55.315539305452475</v>
      </c>
      <c r="X150" s="7">
        <f>100-(N$436-Tabell2[[#This Row],[Beftettland-T]])*100/N$439</f>
        <v>3.6428648847207228</v>
      </c>
      <c r="Y150" s="7">
        <f>100-(O$436-Tabell2[[#This Row],[Beftettotal-T]])*100/O$439</f>
        <v>3.3730321719320386</v>
      </c>
      <c r="Z150" s="7">
        <f>100-(P$436-Tabell2[[#This Row],[Befvekst10-T]])*100/P$439</f>
        <v>69.699291193747086</v>
      </c>
      <c r="AA150" s="7">
        <f>100-(Q$436-Tabell2[[#This Row],[Kvinneandel-T]])*100/Q$439</f>
        <v>61.590691299924721</v>
      </c>
      <c r="AB150" s="7">
        <f>(R$436-Tabell2[[#This Row],[Eldreandel-T]])*100/R$439</f>
        <v>76.644990820302269</v>
      </c>
      <c r="AC150" s="7">
        <f>100-(S$436-Tabell2[[#This Row],[Sysselsettingsvekst10-T]])*100/S$439</f>
        <v>28.589457489870867</v>
      </c>
      <c r="AD150" s="7">
        <f>100-(T$436-Tabell2[[#This Row],[Yrkesaktivandel-T]])*100/T$439</f>
        <v>27.258417289520807</v>
      </c>
      <c r="AE150" s="7">
        <f>100-(U$436-Tabell2[[#This Row],[Inntekt-T]])*100/U$439</f>
        <v>12.96693375465523</v>
      </c>
      <c r="AF150" s="7">
        <v>14</v>
      </c>
      <c r="AG150" s="7">
        <v>5.5315539305452477</v>
      </c>
      <c r="AH150" s="7">
        <v>0.33730321719320389</v>
      </c>
      <c r="AI150" s="7">
        <v>13.939858238749418</v>
      </c>
      <c r="AJ150" s="7">
        <v>3.0795345649962362</v>
      </c>
      <c r="AK150" s="7">
        <v>3.8322495410151136</v>
      </c>
      <c r="AL150" s="7">
        <v>2.8589457489870869</v>
      </c>
      <c r="AM150" s="7">
        <v>2.7258417289520809</v>
      </c>
      <c r="AN150" s="7">
        <v>1.296693375465523</v>
      </c>
      <c r="AO15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47.601980345903918</v>
      </c>
    </row>
    <row r="151" spans="1:41" x14ac:dyDescent="0.3">
      <c r="A151" s="2" t="s">
        <v>148</v>
      </c>
      <c r="B151">
        <f>'Rådata-K'!N150</f>
        <v>4</v>
      </c>
      <c r="C151" s="7">
        <f>'Rådata-K'!M150</f>
        <v>160.98333333299999</v>
      </c>
      <c r="D151" s="24">
        <f>'Rådata-K'!O150</f>
        <v>29.489065411395508</v>
      </c>
      <c r="E151" s="24">
        <f>'Rådata-K'!P150</f>
        <v>27.636597582831673</v>
      </c>
      <c r="F151" s="24">
        <f>'Rådata-K'!Q150</f>
        <v>3.0147310722850262E-2</v>
      </c>
      <c r="G151" s="24">
        <f>'Rådata-K'!R150</f>
        <v>0.11257066844030596</v>
      </c>
      <c r="H151" s="24">
        <f>'Rådata-K'!S150</f>
        <v>0.17625540405719986</v>
      </c>
      <c r="I151" s="24">
        <f>'Rådata-K'!T150</f>
        <v>-4.4247787610619538E-3</v>
      </c>
      <c r="J151" s="24">
        <f>'Rådata-K'!U150</f>
        <v>0.76668635558180742</v>
      </c>
      <c r="K151" s="24">
        <f>'Rådata-K'!L150</f>
        <v>370700</v>
      </c>
      <c r="L151" s="24">
        <f>Tabell2[[#This Row],[NIBR11]]</f>
        <v>4</v>
      </c>
      <c r="M151" s="24">
        <f>IF(Tabell2[[#This Row],[ReisetidOslo]]&lt;=C$434,C$434,IF(Tabell2[[#This Row],[ReisetidOslo]]&gt;=C$435,C$435,Tabell2[[#This Row],[ReisetidOslo]]))</f>
        <v>160.98333333299999</v>
      </c>
      <c r="N151" s="24">
        <f>IF(Tabell2[[#This Row],[Beftettland]]&lt;=D$434,D$434,IF(Tabell2[[#This Row],[Beftettland]]&gt;=D$435,D$435,Tabell2[[#This Row],[Beftettland]]))</f>
        <v>29.489065411395508</v>
      </c>
      <c r="O151" s="24">
        <f>IF(Tabell2[[#This Row],[Beftettotal]]&lt;=E$434,E$434,IF(Tabell2[[#This Row],[Beftettotal]]&gt;=E$435,E$435,Tabell2[[#This Row],[Beftettotal]]))</f>
        <v>27.636597582831673</v>
      </c>
      <c r="P151" s="24">
        <f>IF(Tabell2[[#This Row],[Befvekst10]]&lt;=F$434,F$434,IF(Tabell2[[#This Row],[Befvekst10]]&gt;=F$435,F$435,Tabell2[[#This Row],[Befvekst10]]))</f>
        <v>3.0147310722850262E-2</v>
      </c>
      <c r="Q151" s="24">
        <f>IF(Tabell2[[#This Row],[Kvinneandel]]&lt;=G$434,G$434,IF(Tabell2[[#This Row],[Kvinneandel]]&gt;=G$435,G$435,Tabell2[[#This Row],[Kvinneandel]]))</f>
        <v>0.11257066844030596</v>
      </c>
      <c r="R151" s="24">
        <f>IF(Tabell2[[#This Row],[Eldreandel]]&lt;=H$434,H$434,IF(Tabell2[[#This Row],[Eldreandel]]&gt;=H$435,H$435,Tabell2[[#This Row],[Eldreandel]]))</f>
        <v>0.17625540405719986</v>
      </c>
      <c r="S151" s="24">
        <f>IF(Tabell2[[#This Row],[Sysselsettingsvekst10]]&lt;=I$434,I$434,IF(Tabell2[[#This Row],[Sysselsettingsvekst10]]&gt;=I$435,I$435,Tabell2[[#This Row],[Sysselsettingsvekst10]]))</f>
        <v>-4.4247787610619538E-3</v>
      </c>
      <c r="T151" s="24">
        <f>IF(Tabell2[[#This Row],[Yrkesaktivandel]]&lt;=J$434,J$434,IF(Tabell2[[#This Row],[Yrkesaktivandel]]&gt;=J$435,J$435,Tabell2[[#This Row],[Yrkesaktivandel]]))</f>
        <v>0.79888426611272945</v>
      </c>
      <c r="U151" s="24">
        <f>IF(Tabell2[[#This Row],[Inntekt]]&lt;=K$434,K$434,IF(Tabell2[[#This Row],[Inntekt]]&gt;=K$435,K$435,Tabell2[[#This Row],[Inntekt]]))</f>
        <v>370700</v>
      </c>
      <c r="V151" s="7">
        <f>IF(Tabell2[[#This Row],[NIBR11-T]]&lt;=L$437,100,IF(Tabell2[[#This Row],[NIBR11-T]]&gt;=L$436,0,100*(L$436-Tabell2[[#This Row],[NIBR11-T]])/L$439))</f>
        <v>70</v>
      </c>
      <c r="W151" s="7">
        <f>(M$436-Tabell2[[#This Row],[ReisetidOslo-T]])*100/M$439</f>
        <v>52.419744058652043</v>
      </c>
      <c r="X151" s="7">
        <f>100-(N$436-Tabell2[[#This Row],[Beftettland-T]])*100/N$439</f>
        <v>20.775706243135531</v>
      </c>
      <c r="Y151" s="7">
        <f>100-(O$436-Tabell2[[#This Row],[Beftettotal-T]])*100/O$439</f>
        <v>20.145221144332623</v>
      </c>
      <c r="Z151" s="7">
        <f>100-(P$436-Tabell2[[#This Row],[Befvekst10-T]])*100/P$439</f>
        <v>40.965936234366303</v>
      </c>
      <c r="AA151" s="7">
        <f>100-(Q$436-Tabell2[[#This Row],[Kvinneandel-T]])*100/Q$439</f>
        <v>60.55055490414599</v>
      </c>
      <c r="AB151" s="7">
        <f>(R$436-Tabell2[[#This Row],[Eldreandel-T]])*100/R$439</f>
        <v>47.566598857149579</v>
      </c>
      <c r="AC151" s="7">
        <f>100-(S$436-Tabell2[[#This Row],[Sysselsettingsvekst10-T]])*100/S$439</f>
        <v>28.766375355004428</v>
      </c>
      <c r="AD151" s="7">
        <f>100-(T$436-Tabell2[[#This Row],[Yrkesaktivandel-T]])*100/T$439</f>
        <v>0</v>
      </c>
      <c r="AE151" s="7">
        <f>100-(U$436-Tabell2[[#This Row],[Inntekt-T]])*100/U$439</f>
        <v>29.669337546552313</v>
      </c>
      <c r="AF151" s="7">
        <v>14</v>
      </c>
      <c r="AG151" s="7">
        <v>5.2419744058652045</v>
      </c>
      <c r="AH151" s="7">
        <v>2.0145221144332623</v>
      </c>
      <c r="AI151" s="7">
        <v>8.1931872468732614</v>
      </c>
      <c r="AJ151" s="7">
        <v>3.0275277452072995</v>
      </c>
      <c r="AK151" s="7">
        <v>2.3783299428574791</v>
      </c>
      <c r="AL151" s="7">
        <v>2.8766375355004428</v>
      </c>
      <c r="AM151" s="7">
        <v>0</v>
      </c>
      <c r="AN151" s="7">
        <v>2.9669337546552317</v>
      </c>
      <c r="AO15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40.699112745392178</v>
      </c>
    </row>
    <row r="152" spans="1:41" x14ac:dyDescent="0.3">
      <c r="A152" s="2" t="s">
        <v>149</v>
      </c>
      <c r="B152">
        <f>'Rådata-K'!N151</f>
        <v>4</v>
      </c>
      <c r="C152" s="7">
        <f>'Rådata-K'!M151</f>
        <v>181.4</v>
      </c>
      <c r="D152" s="24">
        <f>'Rådata-K'!O151</f>
        <v>9.3474426807760143</v>
      </c>
      <c r="E152" s="24">
        <f>'Rådata-K'!P151</f>
        <v>8.7162937909206573</v>
      </c>
      <c r="F152" s="24">
        <f>'Rådata-K'!Q151</f>
        <v>0.17926112510495384</v>
      </c>
      <c r="G152" s="24">
        <f>'Rådata-K'!R151</f>
        <v>0.1290494838020648</v>
      </c>
      <c r="H152" s="24">
        <f>'Rådata-K'!S151</f>
        <v>0.1242435030259879</v>
      </c>
      <c r="I152" s="24">
        <f>'Rådata-K'!T151</f>
        <v>0.13651315789473695</v>
      </c>
      <c r="J152" s="24">
        <f>'Rådata-K'!U151</f>
        <v>0.80645161290322576</v>
      </c>
      <c r="K152" s="24">
        <f>'Rådata-K'!L151</f>
        <v>372300</v>
      </c>
      <c r="L152" s="24">
        <f>Tabell2[[#This Row],[NIBR11]]</f>
        <v>4</v>
      </c>
      <c r="M152" s="24">
        <f>IF(Tabell2[[#This Row],[ReisetidOslo]]&lt;=C$434,C$434,IF(Tabell2[[#This Row],[ReisetidOslo]]&gt;=C$435,C$435,Tabell2[[#This Row],[ReisetidOslo]]))</f>
        <v>181.4</v>
      </c>
      <c r="N152" s="24">
        <f>IF(Tabell2[[#This Row],[Beftettland]]&lt;=D$434,D$434,IF(Tabell2[[#This Row],[Beftettland]]&gt;=D$435,D$435,Tabell2[[#This Row],[Beftettland]]))</f>
        <v>9.3474426807760143</v>
      </c>
      <c r="O152" s="24">
        <f>IF(Tabell2[[#This Row],[Beftettotal]]&lt;=E$434,E$434,IF(Tabell2[[#This Row],[Beftettotal]]&gt;=E$435,E$435,Tabell2[[#This Row],[Beftettotal]]))</f>
        <v>8.7162937909206573</v>
      </c>
      <c r="P152" s="24">
        <f>IF(Tabell2[[#This Row],[Befvekst10]]&lt;=F$434,F$434,IF(Tabell2[[#This Row],[Befvekst10]]&gt;=F$435,F$435,Tabell2[[#This Row],[Befvekst10]]))</f>
        <v>0.17599648151968622</v>
      </c>
      <c r="Q152" s="24">
        <f>IF(Tabell2[[#This Row],[Kvinneandel]]&lt;=G$434,G$434,IF(Tabell2[[#This Row],[Kvinneandel]]&gt;=G$435,G$435,Tabell2[[#This Row],[Kvinneandel]]))</f>
        <v>0.12758728250318055</v>
      </c>
      <c r="R152" s="24">
        <f>IF(Tabell2[[#This Row],[Eldreandel]]&lt;=H$434,H$434,IF(Tabell2[[#This Row],[Eldreandel]]&gt;=H$435,H$435,Tabell2[[#This Row],[Eldreandel]]))</f>
        <v>0.12767243783057225</v>
      </c>
      <c r="S152" s="24">
        <f>IF(Tabell2[[#This Row],[Sysselsettingsvekst10]]&lt;=I$434,I$434,IF(Tabell2[[#This Row],[Sysselsettingsvekst10]]&gt;=I$435,I$435,Tabell2[[#This Row],[Sysselsettingsvekst10]]))</f>
        <v>0.13651315789473695</v>
      </c>
      <c r="T152" s="24">
        <f>IF(Tabell2[[#This Row],[Yrkesaktivandel]]&lt;=J$434,J$434,IF(Tabell2[[#This Row],[Yrkesaktivandel]]&gt;=J$435,J$435,Tabell2[[#This Row],[Yrkesaktivandel]]))</f>
        <v>0.80645161290322576</v>
      </c>
      <c r="U152" s="24">
        <f>IF(Tabell2[[#This Row],[Inntekt]]&lt;=K$434,K$434,IF(Tabell2[[#This Row],[Inntekt]]&gt;=K$435,K$435,Tabell2[[#This Row],[Inntekt]]))</f>
        <v>372300</v>
      </c>
      <c r="V152" s="7">
        <f>IF(Tabell2[[#This Row],[NIBR11-T]]&lt;=L$437,100,IF(Tabell2[[#This Row],[NIBR11-T]]&gt;=L$436,0,100*(L$436-Tabell2[[#This Row],[NIBR11-T]])/L$439))</f>
        <v>70</v>
      </c>
      <c r="W152" s="7">
        <f>(M$436-Tabell2[[#This Row],[ReisetidOslo-T]])*100/M$439</f>
        <v>43.461791590499388</v>
      </c>
      <c r="X152" s="7">
        <f>100-(N$436-Tabell2[[#This Row],[Beftettland-T]])*100/N$439</f>
        <v>5.8768725007559652</v>
      </c>
      <c r="Y152" s="7">
        <f>100-(O$436-Tabell2[[#This Row],[Beftettotal-T]])*100/O$439</f>
        <v>5.6628909517208967</v>
      </c>
      <c r="Z152" s="7">
        <f>100-(P$436-Tabell2[[#This Row],[Befvekst10-T]])*100/P$439</f>
        <v>100</v>
      </c>
      <c r="AA152" s="7">
        <f>100-(Q$436-Tabell2[[#This Row],[Kvinneandel-T]])*100/Q$439</f>
        <v>100</v>
      </c>
      <c r="AB152" s="7">
        <f>(R$436-Tabell2[[#This Row],[Eldreandel-T]])*100/R$439</f>
        <v>100</v>
      </c>
      <c r="AC152" s="7">
        <f>100-(S$436-Tabell2[[#This Row],[Sysselsettingsvekst10-T]])*100/S$439</f>
        <v>74.761654320394115</v>
      </c>
      <c r="AD152" s="7">
        <f>100-(T$436-Tabell2[[#This Row],[Yrkesaktivandel-T]])*100/T$439</f>
        <v>5.3372029435482915</v>
      </c>
      <c r="AE152" s="7">
        <f>100-(U$436-Tabell2[[#This Row],[Inntekt-T]])*100/U$439</f>
        <v>31.475002821351993</v>
      </c>
      <c r="AF152" s="7">
        <v>14</v>
      </c>
      <c r="AG152" s="7">
        <v>4.3461791590499388</v>
      </c>
      <c r="AH152" s="7">
        <v>0.5662890951720897</v>
      </c>
      <c r="AI152" s="7">
        <v>20</v>
      </c>
      <c r="AJ152" s="7">
        <v>5</v>
      </c>
      <c r="AK152" s="7">
        <v>5</v>
      </c>
      <c r="AL152" s="7">
        <v>7.4761654320394122</v>
      </c>
      <c r="AM152" s="7">
        <v>0.53372029435482915</v>
      </c>
      <c r="AN152" s="7">
        <v>3.1475002821351996</v>
      </c>
      <c r="AO15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60.06985426275147</v>
      </c>
    </row>
    <row r="153" spans="1:41" x14ac:dyDescent="0.3">
      <c r="A153" s="2" t="s">
        <v>150</v>
      </c>
      <c r="B153">
        <f>'Rådata-K'!N152</f>
        <v>2</v>
      </c>
      <c r="C153" s="7">
        <f>'Rådata-K'!M152</f>
        <v>166.78333333329999</v>
      </c>
      <c r="D153" s="24">
        <f>'Rådata-K'!O152</f>
        <v>58.637321210777252</v>
      </c>
      <c r="E153" s="24">
        <f>'Rådata-K'!P152</f>
        <v>55.548553122209967</v>
      </c>
      <c r="F153" s="24">
        <f>'Rådata-K'!Q152</f>
        <v>0.17131782945736429</v>
      </c>
      <c r="G153" s="24">
        <f>'Rådata-K'!R152</f>
        <v>0.11761369008225395</v>
      </c>
      <c r="H153" s="24">
        <f>'Rådata-K'!S152</f>
        <v>0.14834073934007752</v>
      </c>
      <c r="I153" s="24">
        <f>'Rådata-K'!T152</f>
        <v>0.36719745222929934</v>
      </c>
      <c r="J153" s="24">
        <f>'Rådata-K'!U152</f>
        <v>0.83689126084056042</v>
      </c>
      <c r="K153" s="24">
        <f>'Rådata-K'!L152</f>
        <v>420600</v>
      </c>
      <c r="L153" s="24">
        <f>Tabell2[[#This Row],[NIBR11]]</f>
        <v>2</v>
      </c>
      <c r="M153" s="24">
        <f>IF(Tabell2[[#This Row],[ReisetidOslo]]&lt;=C$434,C$434,IF(Tabell2[[#This Row],[ReisetidOslo]]&gt;=C$435,C$435,Tabell2[[#This Row],[ReisetidOslo]]))</f>
        <v>166.78333333329999</v>
      </c>
      <c r="N153" s="24">
        <f>IF(Tabell2[[#This Row],[Beftettland]]&lt;=D$434,D$434,IF(Tabell2[[#This Row],[Beftettland]]&gt;=D$435,D$435,Tabell2[[#This Row],[Beftettland]]))</f>
        <v>58.637321210777252</v>
      </c>
      <c r="O153" s="24">
        <f>IF(Tabell2[[#This Row],[Beftettotal]]&lt;=E$434,E$434,IF(Tabell2[[#This Row],[Beftettotal]]&gt;=E$435,E$435,Tabell2[[#This Row],[Beftettotal]]))</f>
        <v>55.548553122209967</v>
      </c>
      <c r="P153" s="24">
        <f>IF(Tabell2[[#This Row],[Befvekst10]]&lt;=F$434,F$434,IF(Tabell2[[#This Row],[Befvekst10]]&gt;=F$435,F$435,Tabell2[[#This Row],[Befvekst10]]))</f>
        <v>0.17131782945736429</v>
      </c>
      <c r="Q153" s="24">
        <f>IF(Tabell2[[#This Row],[Kvinneandel]]&lt;=G$434,G$434,IF(Tabell2[[#This Row],[Kvinneandel]]&gt;=G$435,G$435,Tabell2[[#This Row],[Kvinneandel]]))</f>
        <v>0.11761369008225395</v>
      </c>
      <c r="R153" s="24">
        <f>IF(Tabell2[[#This Row],[Eldreandel]]&lt;=H$434,H$434,IF(Tabell2[[#This Row],[Eldreandel]]&gt;=H$435,H$435,Tabell2[[#This Row],[Eldreandel]]))</f>
        <v>0.14834073934007752</v>
      </c>
      <c r="S153" s="24">
        <f>IF(Tabell2[[#This Row],[Sysselsettingsvekst10]]&lt;=I$434,I$434,IF(Tabell2[[#This Row],[Sysselsettingsvekst10]]&gt;=I$435,I$435,Tabell2[[#This Row],[Sysselsettingsvekst10]]))</f>
        <v>0.21384805931725109</v>
      </c>
      <c r="T153" s="24">
        <f>IF(Tabell2[[#This Row],[Yrkesaktivandel]]&lt;=J$434,J$434,IF(Tabell2[[#This Row],[Yrkesaktivandel]]&gt;=J$435,J$435,Tabell2[[#This Row],[Yrkesaktivandel]]))</f>
        <v>0.83689126084056042</v>
      </c>
      <c r="U153" s="24">
        <f>IF(Tabell2[[#This Row],[Inntekt]]&lt;=K$434,K$434,IF(Tabell2[[#This Row],[Inntekt]]&gt;=K$435,K$435,Tabell2[[#This Row],[Inntekt]]))</f>
        <v>420600</v>
      </c>
      <c r="V153" s="7">
        <f>IF(Tabell2[[#This Row],[NIBR11-T]]&lt;=L$437,100,IF(Tabell2[[#This Row],[NIBR11-T]]&gt;=L$436,0,100*(L$436-Tabell2[[#This Row],[NIBR11-T]])/L$439))</f>
        <v>90</v>
      </c>
      <c r="W153" s="7">
        <f>(M$436-Tabell2[[#This Row],[ReisetidOslo-T]])*100/M$439</f>
        <v>49.87495429618064</v>
      </c>
      <c r="X153" s="7">
        <f>100-(N$436-Tabell2[[#This Row],[Beftettland-T]])*100/N$439</f>
        <v>42.336780186554748</v>
      </c>
      <c r="Y153" s="7">
        <f>100-(O$436-Tabell2[[#This Row],[Beftettotal-T]])*100/O$439</f>
        <v>41.510108351672002</v>
      </c>
      <c r="Z153" s="7">
        <f>100-(P$436-Tabell2[[#This Row],[Befvekst10-T]])*100/P$439</f>
        <v>98.106263870577195</v>
      </c>
      <c r="AA153" s="7">
        <f>100-(Q$436-Tabell2[[#This Row],[Kvinneandel-T]])*100/Q$439</f>
        <v>73.798841405234057</v>
      </c>
      <c r="AB153" s="7">
        <f>(R$436-Tabell2[[#This Row],[Eldreandel-T]])*100/R$439</f>
        <v>77.693635688400889</v>
      </c>
      <c r="AC153" s="7">
        <f>100-(S$436-Tabell2[[#This Row],[Sysselsettingsvekst10-T]])*100/S$439</f>
        <v>100</v>
      </c>
      <c r="AD153" s="7">
        <f>100-(T$436-Tabell2[[#This Row],[Yrkesaktivandel-T]])*100/T$439</f>
        <v>26.806098590798115</v>
      </c>
      <c r="AE153" s="7">
        <f>100-(U$436-Tabell2[[#This Row],[Inntekt-T]])*100/U$439</f>
        <v>85.983523304367452</v>
      </c>
      <c r="AF153" s="7">
        <v>18</v>
      </c>
      <c r="AG153" s="7">
        <v>4.9874954296180647</v>
      </c>
      <c r="AH153" s="7">
        <v>4.1510108351672006</v>
      </c>
      <c r="AI153" s="7">
        <v>19.62125277411544</v>
      </c>
      <c r="AJ153" s="7">
        <v>3.689942070261703</v>
      </c>
      <c r="AK153" s="7">
        <v>3.8846817844200445</v>
      </c>
      <c r="AL153" s="7">
        <v>10</v>
      </c>
      <c r="AM153" s="7">
        <v>2.6806098590798118</v>
      </c>
      <c r="AN153" s="7">
        <v>8.5983523304367449</v>
      </c>
      <c r="AO15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75.613345083098991</v>
      </c>
    </row>
    <row r="154" spans="1:41" x14ac:dyDescent="0.3">
      <c r="A154" s="2" t="s">
        <v>151</v>
      </c>
      <c r="B154">
        <f>'Rådata-K'!N153</f>
        <v>2</v>
      </c>
      <c r="C154" s="7">
        <f>'Rådata-K'!M153</f>
        <v>164.6</v>
      </c>
      <c r="D154" s="24">
        <f>'Rådata-K'!O153</f>
        <v>8.1710085567779522</v>
      </c>
      <c r="E154" s="24">
        <f>'Rådata-K'!P153</f>
        <v>7.6341199329585745</v>
      </c>
      <c r="F154" s="24">
        <f>'Rådata-K'!Q153</f>
        <v>0.17323911556872584</v>
      </c>
      <c r="G154" s="24">
        <f>'Rådata-K'!R153</f>
        <v>0.13231008354381193</v>
      </c>
      <c r="H154" s="24">
        <f>'Rådata-K'!S153</f>
        <v>0.1303672041966194</v>
      </c>
      <c r="I154" s="24">
        <f>'Rådata-K'!T153</f>
        <v>4.2811501597444179E-2</v>
      </c>
      <c r="J154" s="24">
        <f>'Rådata-K'!U153</f>
        <v>0.82886597938144335</v>
      </c>
      <c r="K154" s="24">
        <f>'Rådata-K'!L153</f>
        <v>363300</v>
      </c>
      <c r="L154" s="24">
        <f>Tabell2[[#This Row],[NIBR11]]</f>
        <v>2</v>
      </c>
      <c r="M154" s="24">
        <f>IF(Tabell2[[#This Row],[ReisetidOslo]]&lt;=C$434,C$434,IF(Tabell2[[#This Row],[ReisetidOslo]]&gt;=C$435,C$435,Tabell2[[#This Row],[ReisetidOslo]]))</f>
        <v>164.6</v>
      </c>
      <c r="N154" s="24">
        <f>IF(Tabell2[[#This Row],[Beftettland]]&lt;=D$434,D$434,IF(Tabell2[[#This Row],[Beftettland]]&gt;=D$435,D$435,Tabell2[[#This Row],[Beftettland]]))</f>
        <v>8.1710085567779522</v>
      </c>
      <c r="O154" s="24">
        <f>IF(Tabell2[[#This Row],[Beftettotal]]&lt;=E$434,E$434,IF(Tabell2[[#This Row],[Beftettotal]]&gt;=E$435,E$435,Tabell2[[#This Row],[Beftettotal]]))</f>
        <v>7.6341199329585745</v>
      </c>
      <c r="P154" s="24">
        <f>IF(Tabell2[[#This Row],[Befvekst10]]&lt;=F$434,F$434,IF(Tabell2[[#This Row],[Befvekst10]]&gt;=F$435,F$435,Tabell2[[#This Row],[Befvekst10]]))</f>
        <v>0.17323911556872584</v>
      </c>
      <c r="Q154" s="24">
        <f>IF(Tabell2[[#This Row],[Kvinneandel]]&lt;=G$434,G$434,IF(Tabell2[[#This Row],[Kvinneandel]]&gt;=G$435,G$435,Tabell2[[#This Row],[Kvinneandel]]))</f>
        <v>0.12758728250318055</v>
      </c>
      <c r="R154" s="24">
        <f>IF(Tabell2[[#This Row],[Eldreandel]]&lt;=H$434,H$434,IF(Tabell2[[#This Row],[Eldreandel]]&gt;=H$435,H$435,Tabell2[[#This Row],[Eldreandel]]))</f>
        <v>0.1303672041966194</v>
      </c>
      <c r="S154" s="24">
        <f>IF(Tabell2[[#This Row],[Sysselsettingsvekst10]]&lt;=I$434,I$434,IF(Tabell2[[#This Row],[Sysselsettingsvekst10]]&gt;=I$435,I$435,Tabell2[[#This Row],[Sysselsettingsvekst10]]))</f>
        <v>4.2811501597444179E-2</v>
      </c>
      <c r="T154" s="24">
        <f>IF(Tabell2[[#This Row],[Yrkesaktivandel]]&lt;=J$434,J$434,IF(Tabell2[[#This Row],[Yrkesaktivandel]]&gt;=J$435,J$435,Tabell2[[#This Row],[Yrkesaktivandel]]))</f>
        <v>0.82886597938144335</v>
      </c>
      <c r="U154" s="24">
        <f>IF(Tabell2[[#This Row],[Inntekt]]&lt;=K$434,K$434,IF(Tabell2[[#This Row],[Inntekt]]&gt;=K$435,K$435,Tabell2[[#This Row],[Inntekt]]))</f>
        <v>363300</v>
      </c>
      <c r="V154" s="7">
        <f>IF(Tabell2[[#This Row],[NIBR11-T]]&lt;=L$437,100,IF(Tabell2[[#This Row],[NIBR11-T]]&gt;=L$436,0,100*(L$436-Tabell2[[#This Row],[NIBR11-T]])/L$439))</f>
        <v>90</v>
      </c>
      <c r="W154" s="7">
        <f>(M$436-Tabell2[[#This Row],[ReisetidOslo-T]])*100/M$439</f>
        <v>50.832906764173224</v>
      </c>
      <c r="X154" s="7">
        <f>100-(N$436-Tabell2[[#This Row],[Beftettland-T]])*100/N$439</f>
        <v>5.0066597747642589</v>
      </c>
      <c r="Y154" s="7">
        <f>100-(O$436-Tabell2[[#This Row],[Beftettotal-T]])*100/O$439</f>
        <v>4.8345533463004102</v>
      </c>
      <c r="Z154" s="7">
        <f>100-(P$436-Tabell2[[#This Row],[Befvekst10-T]])*100/P$439</f>
        <v>98.88392565768558</v>
      </c>
      <c r="AA154" s="7">
        <f>100-(Q$436-Tabell2[[#This Row],[Kvinneandel-T]])*100/Q$439</f>
        <v>100</v>
      </c>
      <c r="AB154" s="7">
        <f>(R$436-Tabell2[[#This Row],[Eldreandel-T]])*100/R$439</f>
        <v>97.091660373347693</v>
      </c>
      <c r="AC154" s="7">
        <f>100-(S$436-Tabell2[[#This Row],[Sysselsettingsvekst10-T]])*100/S$439</f>
        <v>44.181996896867368</v>
      </c>
      <c r="AD154" s="7">
        <f>100-(T$436-Tabell2[[#This Row],[Yrkesaktivandel-T]])*100/T$439</f>
        <v>21.14591715439353</v>
      </c>
      <c r="AE154" s="7">
        <f>100-(U$436-Tabell2[[#This Row],[Inntekt-T]])*100/U$439</f>
        <v>21.318135650603764</v>
      </c>
      <c r="AF154" s="7">
        <v>18</v>
      </c>
      <c r="AG154" s="7">
        <v>5.0832906764173229</v>
      </c>
      <c r="AH154" s="7">
        <v>0.48345533463004103</v>
      </c>
      <c r="AI154" s="7">
        <v>19.776785131537117</v>
      </c>
      <c r="AJ154" s="7">
        <v>5</v>
      </c>
      <c r="AK154" s="7">
        <v>4.8545830186673848</v>
      </c>
      <c r="AL154" s="7">
        <v>4.4181996896867366</v>
      </c>
      <c r="AM154" s="7">
        <v>2.114591715439353</v>
      </c>
      <c r="AN154" s="7">
        <v>2.1318135650603764</v>
      </c>
      <c r="AO15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61.862719131438332</v>
      </c>
    </row>
    <row r="155" spans="1:41" x14ac:dyDescent="0.3">
      <c r="A155" s="2" t="s">
        <v>152</v>
      </c>
      <c r="B155">
        <f>'Rådata-K'!N154</f>
        <v>4</v>
      </c>
      <c r="C155" s="7">
        <f>'Rådata-K'!M154</f>
        <v>183.66666666699999</v>
      </c>
      <c r="D155" s="24">
        <f>'Rådata-K'!O154</f>
        <v>1.7450539483380887</v>
      </c>
      <c r="E155" s="24">
        <f>'Rådata-K'!P154</f>
        <v>1.6336314025172249</v>
      </c>
      <c r="F155" s="24">
        <f>'Rådata-K'!Q154</f>
        <v>3.4733893557423068E-2</v>
      </c>
      <c r="G155" s="24">
        <f>'Rådata-K'!R154</f>
        <v>0.10665944775311316</v>
      </c>
      <c r="H155" s="24">
        <f>'Rådata-K'!S154</f>
        <v>0.17866811044937736</v>
      </c>
      <c r="I155" s="24">
        <f>'Rådata-K'!T154</f>
        <v>1.3927576601671321E-2</v>
      </c>
      <c r="J155" s="24">
        <f>'Rådata-K'!U154</f>
        <v>0.8115234375</v>
      </c>
      <c r="K155" s="24">
        <f>'Rådata-K'!L154</f>
        <v>357600</v>
      </c>
      <c r="L155" s="24">
        <f>Tabell2[[#This Row],[NIBR11]]</f>
        <v>4</v>
      </c>
      <c r="M155" s="24">
        <f>IF(Tabell2[[#This Row],[ReisetidOslo]]&lt;=C$434,C$434,IF(Tabell2[[#This Row],[ReisetidOslo]]&gt;=C$435,C$435,Tabell2[[#This Row],[ReisetidOslo]]))</f>
        <v>183.66666666699999</v>
      </c>
      <c r="N155" s="24">
        <f>IF(Tabell2[[#This Row],[Beftettland]]&lt;=D$434,D$434,IF(Tabell2[[#This Row],[Beftettland]]&gt;=D$435,D$435,Tabell2[[#This Row],[Beftettland]]))</f>
        <v>1.7450539483380887</v>
      </c>
      <c r="O155" s="24">
        <f>IF(Tabell2[[#This Row],[Beftettotal]]&lt;=E$434,E$434,IF(Tabell2[[#This Row],[Beftettotal]]&gt;=E$435,E$435,Tabell2[[#This Row],[Beftettotal]]))</f>
        <v>1.6336314025172249</v>
      </c>
      <c r="P155" s="24">
        <f>IF(Tabell2[[#This Row],[Befvekst10]]&lt;=F$434,F$434,IF(Tabell2[[#This Row],[Befvekst10]]&gt;=F$435,F$435,Tabell2[[#This Row],[Befvekst10]]))</f>
        <v>3.4733893557423068E-2</v>
      </c>
      <c r="Q155" s="24">
        <f>IF(Tabell2[[#This Row],[Kvinneandel]]&lt;=G$434,G$434,IF(Tabell2[[#This Row],[Kvinneandel]]&gt;=G$435,G$435,Tabell2[[#This Row],[Kvinneandel]]))</f>
        <v>0.10665944775311316</v>
      </c>
      <c r="R155" s="24">
        <f>IF(Tabell2[[#This Row],[Eldreandel]]&lt;=H$434,H$434,IF(Tabell2[[#This Row],[Eldreandel]]&gt;=H$435,H$435,Tabell2[[#This Row],[Eldreandel]]))</f>
        <v>0.17866811044937736</v>
      </c>
      <c r="S155" s="24">
        <f>IF(Tabell2[[#This Row],[Sysselsettingsvekst10]]&lt;=I$434,I$434,IF(Tabell2[[#This Row],[Sysselsettingsvekst10]]&gt;=I$435,I$435,Tabell2[[#This Row],[Sysselsettingsvekst10]]))</f>
        <v>1.3927576601671321E-2</v>
      </c>
      <c r="T155" s="24">
        <f>IF(Tabell2[[#This Row],[Yrkesaktivandel]]&lt;=J$434,J$434,IF(Tabell2[[#This Row],[Yrkesaktivandel]]&gt;=J$435,J$435,Tabell2[[#This Row],[Yrkesaktivandel]]))</f>
        <v>0.8115234375</v>
      </c>
      <c r="U155" s="24">
        <f>IF(Tabell2[[#This Row],[Inntekt]]&lt;=K$434,K$434,IF(Tabell2[[#This Row],[Inntekt]]&gt;=K$435,K$435,Tabell2[[#This Row],[Inntekt]]))</f>
        <v>357600</v>
      </c>
      <c r="V155" s="7">
        <f>IF(Tabell2[[#This Row],[NIBR11-T]]&lt;=L$437,100,IF(Tabell2[[#This Row],[NIBR11-T]]&gt;=L$436,0,100*(L$436-Tabell2[[#This Row],[NIBR11-T]])/L$439))</f>
        <v>70</v>
      </c>
      <c r="W155" s="7">
        <f>(M$436-Tabell2[[#This Row],[ReisetidOslo-T]])*100/M$439</f>
        <v>42.467276051047946</v>
      </c>
      <c r="X155" s="7">
        <f>100-(N$436-Tabell2[[#This Row],[Beftettland-T]])*100/N$439</f>
        <v>0.25335709266805395</v>
      </c>
      <c r="Y155" s="7">
        <f>100-(O$436-Tabell2[[#This Row],[Beftettotal-T]])*100/O$439</f>
        <v>0.24154801347994237</v>
      </c>
      <c r="Z155" s="7">
        <f>100-(P$436-Tabell2[[#This Row],[Befvekst10-T]])*100/P$439</f>
        <v>42.822406326333436</v>
      </c>
      <c r="AA155" s="7">
        <f>100-(Q$436-Tabell2[[#This Row],[Kvinneandel-T]])*100/Q$439</f>
        <v>45.021463261216134</v>
      </c>
      <c r="AB155" s="7">
        <f>(R$436-Tabell2[[#This Row],[Eldreandel-T]])*100/R$439</f>
        <v>44.962673820731652</v>
      </c>
      <c r="AC155" s="7">
        <f>100-(S$436-Tabell2[[#This Row],[Sysselsettingsvekst10-T]])*100/S$439</f>
        <v>34.755690401118741</v>
      </c>
      <c r="AD155" s="7">
        <f>100-(T$436-Tabell2[[#This Row],[Yrkesaktivandel-T]])*100/T$439</f>
        <v>8.9143295001189529</v>
      </c>
      <c r="AE155" s="7">
        <f>100-(U$436-Tabell2[[#This Row],[Inntekt-T]])*100/U$439</f>
        <v>14.885453109129898</v>
      </c>
      <c r="AF155" s="7">
        <v>14</v>
      </c>
      <c r="AG155" s="7">
        <v>4.2467276051047946</v>
      </c>
      <c r="AH155" s="7">
        <v>2.4154801347994238E-2</v>
      </c>
      <c r="AI155" s="7">
        <v>8.5644812652666875</v>
      </c>
      <c r="AJ155" s="7">
        <v>2.251073163060807</v>
      </c>
      <c r="AK155" s="7">
        <v>2.2481336910365828</v>
      </c>
      <c r="AL155" s="7">
        <v>3.4755690401118744</v>
      </c>
      <c r="AM155" s="7">
        <v>0.89143295001189538</v>
      </c>
      <c r="AN155" s="7">
        <v>1.4885453109129898</v>
      </c>
      <c r="AO15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37.190117826853623</v>
      </c>
    </row>
    <row r="156" spans="1:41" x14ac:dyDescent="0.3">
      <c r="A156" s="2" t="s">
        <v>153</v>
      </c>
      <c r="B156">
        <f>'Rådata-K'!N155</f>
        <v>2</v>
      </c>
      <c r="C156" s="7">
        <f>'Rådata-K'!M155</f>
        <v>180.55</v>
      </c>
      <c r="D156" s="24">
        <f>'Rådata-K'!O155</f>
        <v>5.3471376370280144</v>
      </c>
      <c r="E156" s="24">
        <f>'Rådata-K'!P155</f>
        <v>5.0338263960554981</v>
      </c>
      <c r="F156" s="24">
        <f>'Rådata-K'!Q155</f>
        <v>0.12564102564102564</v>
      </c>
      <c r="G156" s="24">
        <f>'Rådata-K'!R155</f>
        <v>0.12984054669703873</v>
      </c>
      <c r="H156" s="24">
        <f>'Rådata-K'!S155</f>
        <v>0.12452543659832954</v>
      </c>
      <c r="I156" s="24">
        <f>'Rådata-K'!T155</f>
        <v>0.48929663608562701</v>
      </c>
      <c r="J156" s="24">
        <f>'Rådata-K'!U155</f>
        <v>0.83441138421733507</v>
      </c>
      <c r="K156" s="24">
        <f>'Rådata-K'!L155</f>
        <v>354600</v>
      </c>
      <c r="L156" s="24">
        <f>Tabell2[[#This Row],[NIBR11]]</f>
        <v>2</v>
      </c>
      <c r="M156" s="24">
        <f>IF(Tabell2[[#This Row],[ReisetidOslo]]&lt;=C$434,C$434,IF(Tabell2[[#This Row],[ReisetidOslo]]&gt;=C$435,C$435,Tabell2[[#This Row],[ReisetidOslo]]))</f>
        <v>180.55</v>
      </c>
      <c r="N156" s="24">
        <f>IF(Tabell2[[#This Row],[Beftettland]]&lt;=D$434,D$434,IF(Tabell2[[#This Row],[Beftettland]]&gt;=D$435,D$435,Tabell2[[#This Row],[Beftettland]]))</f>
        <v>5.3471376370280144</v>
      </c>
      <c r="O156" s="24">
        <f>IF(Tabell2[[#This Row],[Beftettotal]]&lt;=E$434,E$434,IF(Tabell2[[#This Row],[Beftettotal]]&gt;=E$435,E$435,Tabell2[[#This Row],[Beftettotal]]))</f>
        <v>5.0338263960554981</v>
      </c>
      <c r="P156" s="24">
        <f>IF(Tabell2[[#This Row],[Befvekst10]]&lt;=F$434,F$434,IF(Tabell2[[#This Row],[Befvekst10]]&gt;=F$435,F$435,Tabell2[[#This Row],[Befvekst10]]))</f>
        <v>0.12564102564102564</v>
      </c>
      <c r="Q156" s="24">
        <f>IF(Tabell2[[#This Row],[Kvinneandel]]&lt;=G$434,G$434,IF(Tabell2[[#This Row],[Kvinneandel]]&gt;=G$435,G$435,Tabell2[[#This Row],[Kvinneandel]]))</f>
        <v>0.12758728250318055</v>
      </c>
      <c r="R156" s="24">
        <f>IF(Tabell2[[#This Row],[Eldreandel]]&lt;=H$434,H$434,IF(Tabell2[[#This Row],[Eldreandel]]&gt;=H$435,H$435,Tabell2[[#This Row],[Eldreandel]]))</f>
        <v>0.12767243783057225</v>
      </c>
      <c r="S156" s="24">
        <f>IF(Tabell2[[#This Row],[Sysselsettingsvekst10]]&lt;=I$434,I$434,IF(Tabell2[[#This Row],[Sysselsettingsvekst10]]&gt;=I$435,I$435,Tabell2[[#This Row],[Sysselsettingsvekst10]]))</f>
        <v>0.21384805931725109</v>
      </c>
      <c r="T156" s="24">
        <f>IF(Tabell2[[#This Row],[Yrkesaktivandel]]&lt;=J$434,J$434,IF(Tabell2[[#This Row],[Yrkesaktivandel]]&gt;=J$435,J$435,Tabell2[[#This Row],[Yrkesaktivandel]]))</f>
        <v>0.83441138421733507</v>
      </c>
      <c r="U156" s="24">
        <f>IF(Tabell2[[#This Row],[Inntekt]]&lt;=K$434,K$434,IF(Tabell2[[#This Row],[Inntekt]]&gt;=K$435,K$435,Tabell2[[#This Row],[Inntekt]]))</f>
        <v>354600</v>
      </c>
      <c r="V156" s="7">
        <f>IF(Tabell2[[#This Row],[NIBR11-T]]&lt;=L$437,100,IF(Tabell2[[#This Row],[NIBR11-T]]&gt;=L$436,0,100*(L$436-Tabell2[[#This Row],[NIBR11-T]])/L$439))</f>
        <v>90</v>
      </c>
      <c r="W156" s="7">
        <f>(M$436-Tabell2[[#This Row],[ReisetidOslo-T]])*100/M$439</f>
        <v>43.834734917738835</v>
      </c>
      <c r="X156" s="7">
        <f>100-(N$436-Tabell2[[#This Row],[Beftettland-T]])*100/N$439</f>
        <v>2.9178318830901731</v>
      </c>
      <c r="Y156" s="7">
        <f>100-(O$436-Tabell2[[#This Row],[Beftettotal-T]])*100/O$439</f>
        <v>2.8441883916296291</v>
      </c>
      <c r="Z156" s="7">
        <f>100-(P$436-Tabell2[[#This Row],[Befvekst10-T]])*100/P$439</f>
        <v>79.618072718224241</v>
      </c>
      <c r="AA156" s="7">
        <f>100-(Q$436-Tabell2[[#This Row],[Kvinneandel-T]])*100/Q$439</f>
        <v>100</v>
      </c>
      <c r="AB156" s="7">
        <f>(R$436-Tabell2[[#This Row],[Eldreandel-T]])*100/R$439</f>
        <v>100</v>
      </c>
      <c r="AC156" s="7">
        <f>100-(S$436-Tabell2[[#This Row],[Sysselsettingsvekst10-T]])*100/S$439</f>
        <v>100</v>
      </c>
      <c r="AD156" s="7">
        <f>100-(T$436-Tabell2[[#This Row],[Yrkesaktivandel-T]])*100/T$439</f>
        <v>25.057056928040268</v>
      </c>
      <c r="AE156" s="7">
        <f>100-(U$436-Tabell2[[#This Row],[Inntekt-T]])*100/U$439</f>
        <v>11.499830718880489</v>
      </c>
      <c r="AF156" s="7">
        <v>18</v>
      </c>
      <c r="AG156" s="7">
        <v>4.3834734917738833</v>
      </c>
      <c r="AH156" s="7">
        <v>0.2844188391629629</v>
      </c>
      <c r="AI156" s="7">
        <v>15.923614543644849</v>
      </c>
      <c r="AJ156" s="7">
        <v>5</v>
      </c>
      <c r="AK156" s="7">
        <v>5</v>
      </c>
      <c r="AL156" s="7">
        <v>10</v>
      </c>
      <c r="AM156" s="7">
        <v>2.5057056928040269</v>
      </c>
      <c r="AN156" s="7">
        <v>1.1499830718880488</v>
      </c>
      <c r="AO15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62.247195639273777</v>
      </c>
    </row>
    <row r="157" spans="1:41" x14ac:dyDescent="0.3">
      <c r="A157" s="2" t="s">
        <v>154</v>
      </c>
      <c r="B157">
        <f>'Rådata-K'!N156</f>
        <v>5</v>
      </c>
      <c r="C157" s="7">
        <f>'Rådata-K'!M156</f>
        <v>198.0666666667</v>
      </c>
      <c r="D157" s="24">
        <f>'Rådata-K'!O156</f>
        <v>6.9591234069008392</v>
      </c>
      <c r="E157" s="24">
        <f>'Rådata-K'!P156</f>
        <v>6.5100049070388746</v>
      </c>
      <c r="F157" s="24">
        <f>'Rådata-K'!Q156</f>
        <v>7.7617328519855588E-2</v>
      </c>
      <c r="G157" s="24">
        <f>'Rådata-K'!R156</f>
        <v>0.11809045226130653</v>
      </c>
      <c r="H157" s="24">
        <f>'Rådata-K'!S156</f>
        <v>0.16610831937465104</v>
      </c>
      <c r="I157" s="24">
        <f>'Rådata-K'!T156</f>
        <v>0.11658570437196381</v>
      </c>
      <c r="J157" s="24">
        <f>'Rådata-K'!U156</f>
        <v>0.8583037074657186</v>
      </c>
      <c r="K157" s="24">
        <f>'Rådata-K'!L156</f>
        <v>361700</v>
      </c>
      <c r="L157" s="24">
        <f>Tabell2[[#This Row],[NIBR11]]</f>
        <v>5</v>
      </c>
      <c r="M157" s="24">
        <f>IF(Tabell2[[#This Row],[ReisetidOslo]]&lt;=C$434,C$434,IF(Tabell2[[#This Row],[ReisetidOslo]]&gt;=C$435,C$435,Tabell2[[#This Row],[ReisetidOslo]]))</f>
        <v>198.0666666667</v>
      </c>
      <c r="N157" s="24">
        <f>IF(Tabell2[[#This Row],[Beftettland]]&lt;=D$434,D$434,IF(Tabell2[[#This Row],[Beftettland]]&gt;=D$435,D$435,Tabell2[[#This Row],[Beftettland]]))</f>
        <v>6.9591234069008392</v>
      </c>
      <c r="O157" s="24">
        <f>IF(Tabell2[[#This Row],[Beftettotal]]&lt;=E$434,E$434,IF(Tabell2[[#This Row],[Beftettotal]]&gt;=E$435,E$435,Tabell2[[#This Row],[Beftettotal]]))</f>
        <v>6.5100049070388746</v>
      </c>
      <c r="P157" s="24">
        <f>IF(Tabell2[[#This Row],[Befvekst10]]&lt;=F$434,F$434,IF(Tabell2[[#This Row],[Befvekst10]]&gt;=F$435,F$435,Tabell2[[#This Row],[Befvekst10]]))</f>
        <v>7.7617328519855588E-2</v>
      </c>
      <c r="Q157" s="24">
        <f>IF(Tabell2[[#This Row],[Kvinneandel]]&lt;=G$434,G$434,IF(Tabell2[[#This Row],[Kvinneandel]]&gt;=G$435,G$435,Tabell2[[#This Row],[Kvinneandel]]))</f>
        <v>0.11809045226130653</v>
      </c>
      <c r="R157" s="24">
        <f>IF(Tabell2[[#This Row],[Eldreandel]]&lt;=H$434,H$434,IF(Tabell2[[#This Row],[Eldreandel]]&gt;=H$435,H$435,Tabell2[[#This Row],[Eldreandel]]))</f>
        <v>0.16610831937465104</v>
      </c>
      <c r="S157" s="24">
        <f>IF(Tabell2[[#This Row],[Sysselsettingsvekst10]]&lt;=I$434,I$434,IF(Tabell2[[#This Row],[Sysselsettingsvekst10]]&gt;=I$435,I$435,Tabell2[[#This Row],[Sysselsettingsvekst10]]))</f>
        <v>0.11658570437196381</v>
      </c>
      <c r="T157" s="24">
        <f>IF(Tabell2[[#This Row],[Yrkesaktivandel]]&lt;=J$434,J$434,IF(Tabell2[[#This Row],[Yrkesaktivandel]]&gt;=J$435,J$435,Tabell2[[#This Row],[Yrkesaktivandel]]))</f>
        <v>0.8583037074657186</v>
      </c>
      <c r="U157" s="24">
        <f>IF(Tabell2[[#This Row],[Inntekt]]&lt;=K$434,K$434,IF(Tabell2[[#This Row],[Inntekt]]&gt;=K$435,K$435,Tabell2[[#This Row],[Inntekt]]))</f>
        <v>361700</v>
      </c>
      <c r="V157" s="7">
        <f>IF(Tabell2[[#This Row],[NIBR11-T]]&lt;=L$437,100,IF(Tabell2[[#This Row],[NIBR11-T]]&gt;=L$436,0,100*(L$436-Tabell2[[#This Row],[NIBR11-T]])/L$439))</f>
        <v>60</v>
      </c>
      <c r="W157" s="7">
        <f>(M$436-Tabell2[[#This Row],[ReisetidOslo-T]])*100/M$439</f>
        <v>36.14917733088771</v>
      </c>
      <c r="X157" s="7">
        <f>100-(N$436-Tabell2[[#This Row],[Beftettland-T]])*100/N$439</f>
        <v>4.110223792204124</v>
      </c>
      <c r="Y157" s="7">
        <f>100-(O$436-Tabell2[[#This Row],[Beftettotal-T]])*100/O$439</f>
        <v>3.9741123534446103</v>
      </c>
      <c r="Z157" s="7">
        <f>100-(P$436-Tabell2[[#This Row],[Befvekst10-T]])*100/P$439</f>
        <v>60.179950563510317</v>
      </c>
      <c r="AA157" s="7">
        <f>100-(Q$436-Tabell2[[#This Row],[Kvinneandel-T]])*100/Q$439</f>
        <v>75.051321047286876</v>
      </c>
      <c r="AB157" s="7">
        <f>(R$436-Tabell2[[#This Row],[Eldreandel-T]])*100/R$439</f>
        <v>58.517889050273872</v>
      </c>
      <c r="AC157" s="7">
        <f>100-(S$436-Tabell2[[#This Row],[Sysselsettingsvekst10-T]])*100/S$439</f>
        <v>68.258303940799379</v>
      </c>
      <c r="AD157" s="7">
        <f>100-(T$436-Tabell2[[#This Row],[Yrkesaktivandel-T]])*100/T$439</f>
        <v>41.908164918707165</v>
      </c>
      <c r="AE157" s="7">
        <f>100-(U$436-Tabell2[[#This Row],[Inntekt-T]])*100/U$439</f>
        <v>19.512470375804085</v>
      </c>
      <c r="AF157" s="7">
        <v>12</v>
      </c>
      <c r="AG157" s="7">
        <v>3.6149177330887712</v>
      </c>
      <c r="AH157" s="7">
        <v>0.39741123534446104</v>
      </c>
      <c r="AI157" s="7">
        <v>12.035990112702065</v>
      </c>
      <c r="AJ157" s="7">
        <v>3.7525660523643438</v>
      </c>
      <c r="AK157" s="7">
        <v>2.9258944525136936</v>
      </c>
      <c r="AL157" s="7">
        <v>6.8258303940799383</v>
      </c>
      <c r="AM157" s="7">
        <v>4.1908164918707165</v>
      </c>
      <c r="AN157" s="7">
        <v>1.9512470375804085</v>
      </c>
      <c r="AO15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47.694673509544394</v>
      </c>
    </row>
    <row r="158" spans="1:41" x14ac:dyDescent="0.3">
      <c r="A158" s="2" t="s">
        <v>155</v>
      </c>
      <c r="B158">
        <f>'Rådata-K'!N157</f>
        <v>5</v>
      </c>
      <c r="C158" s="7">
        <f>'Rådata-K'!M157</f>
        <v>223.9166666667</v>
      </c>
      <c r="D158" s="24">
        <f>'Rådata-K'!O157</f>
        <v>1.0467289719626167</v>
      </c>
      <c r="E158" s="24">
        <f>'Rådata-K'!P157</f>
        <v>0.91792080264702736</v>
      </c>
      <c r="F158" s="24">
        <f>'Rådata-K'!Q157</f>
        <v>-7.0987654320987637E-2</v>
      </c>
      <c r="G158" s="24">
        <f>'Rådata-K'!R157</f>
        <v>9.7176079734219267E-2</v>
      </c>
      <c r="H158" s="24">
        <f>'Rådata-K'!S157</f>
        <v>0.18023255813953487</v>
      </c>
      <c r="I158" s="24">
        <f>'Rådata-K'!T157</f>
        <v>-0.12259194395796846</v>
      </c>
      <c r="J158" s="24">
        <f>'Rådata-K'!U157</f>
        <v>0.8447024673439768</v>
      </c>
      <c r="K158" s="24">
        <f>'Rådata-K'!L157</f>
        <v>373300</v>
      </c>
      <c r="L158" s="24">
        <f>Tabell2[[#This Row],[NIBR11]]</f>
        <v>5</v>
      </c>
      <c r="M158" s="24">
        <f>IF(Tabell2[[#This Row],[ReisetidOslo]]&lt;=C$434,C$434,IF(Tabell2[[#This Row],[ReisetidOslo]]&gt;=C$435,C$435,Tabell2[[#This Row],[ReisetidOslo]]))</f>
        <v>223.9166666667</v>
      </c>
      <c r="N158" s="24">
        <f>IF(Tabell2[[#This Row],[Beftettland]]&lt;=D$434,D$434,IF(Tabell2[[#This Row],[Beftettland]]&gt;=D$435,D$435,Tabell2[[#This Row],[Beftettland]]))</f>
        <v>1.4025423756281519</v>
      </c>
      <c r="O158" s="24">
        <f>IF(Tabell2[[#This Row],[Beftettotal]]&lt;=E$434,E$434,IF(Tabell2[[#This Row],[Beftettotal]]&gt;=E$435,E$435,Tabell2[[#This Row],[Beftettotal]]))</f>
        <v>1.3180632767674032</v>
      </c>
      <c r="P158" s="24">
        <f>IF(Tabell2[[#This Row],[Befvekst10]]&lt;=F$434,F$434,IF(Tabell2[[#This Row],[Befvekst10]]&gt;=F$435,F$435,Tabell2[[#This Row],[Befvekst10]]))</f>
        <v>-7.0987654320987637E-2</v>
      </c>
      <c r="Q158" s="24">
        <f>IF(Tabell2[[#This Row],[Kvinneandel]]&lt;=G$434,G$434,IF(Tabell2[[#This Row],[Kvinneandel]]&gt;=G$435,G$435,Tabell2[[#This Row],[Kvinneandel]]))</f>
        <v>9.7176079734219267E-2</v>
      </c>
      <c r="R158" s="24">
        <f>IF(Tabell2[[#This Row],[Eldreandel]]&lt;=H$434,H$434,IF(Tabell2[[#This Row],[Eldreandel]]&gt;=H$435,H$435,Tabell2[[#This Row],[Eldreandel]]))</f>
        <v>0.18023255813953487</v>
      </c>
      <c r="S158" s="24">
        <f>IF(Tabell2[[#This Row],[Sysselsettingsvekst10]]&lt;=I$434,I$434,IF(Tabell2[[#This Row],[Sysselsettingsvekst10]]&gt;=I$435,I$435,Tabell2[[#This Row],[Sysselsettingsvekst10]]))</f>
        <v>-9.2570207570207563E-2</v>
      </c>
      <c r="T158" s="24">
        <f>IF(Tabell2[[#This Row],[Yrkesaktivandel]]&lt;=J$434,J$434,IF(Tabell2[[#This Row],[Yrkesaktivandel]]&gt;=J$435,J$435,Tabell2[[#This Row],[Yrkesaktivandel]]))</f>
        <v>0.8447024673439768</v>
      </c>
      <c r="U158" s="24">
        <f>IF(Tabell2[[#This Row],[Inntekt]]&lt;=K$434,K$434,IF(Tabell2[[#This Row],[Inntekt]]&gt;=K$435,K$435,Tabell2[[#This Row],[Inntekt]]))</f>
        <v>373300</v>
      </c>
      <c r="V158" s="7">
        <f>IF(Tabell2[[#This Row],[NIBR11-T]]&lt;=L$437,100,IF(Tabell2[[#This Row],[NIBR11-T]]&gt;=L$436,0,100*(L$436-Tabell2[[#This Row],[NIBR11-T]])/L$439))</f>
        <v>60</v>
      </c>
      <c r="W158" s="7">
        <f>(M$436-Tabell2[[#This Row],[ReisetidOslo-T]])*100/M$439</f>
        <v>24.807312614252673</v>
      </c>
      <c r="X158" s="7">
        <f>100-(N$436-Tabell2[[#This Row],[Beftettland-T]])*100/N$439</f>
        <v>0</v>
      </c>
      <c r="Y158" s="7">
        <f>100-(O$436-Tabell2[[#This Row],[Beftettotal-T]])*100/O$439</f>
        <v>0</v>
      </c>
      <c r="Z158" s="7">
        <f>100-(P$436-Tabell2[[#This Row],[Befvekst10-T]])*100/P$439</f>
        <v>3.0441416574831237E-2</v>
      </c>
      <c r="AA158" s="7">
        <f>100-(Q$436-Tabell2[[#This Row],[Kvinneandel-T]])*100/Q$439</f>
        <v>20.108150285420265</v>
      </c>
      <c r="AB158" s="7">
        <f>(R$436-Tabell2[[#This Row],[Eldreandel-T]])*100/R$439</f>
        <v>43.274236088823976</v>
      </c>
      <c r="AC158" s="7">
        <f>100-(S$436-Tabell2[[#This Row],[Sysselsettingsvekst10-T]])*100/S$439</f>
        <v>0</v>
      </c>
      <c r="AD158" s="7">
        <f>100-(T$436-Tabell2[[#This Row],[Yrkesaktivandel-T]])*100/T$439</f>
        <v>32.315294283409315</v>
      </c>
      <c r="AE158" s="7">
        <f>100-(U$436-Tabell2[[#This Row],[Inntekt-T]])*100/U$439</f>
        <v>32.603543618101796</v>
      </c>
      <c r="AF158" s="7">
        <v>12</v>
      </c>
      <c r="AG158" s="7">
        <v>2.4807312614252677</v>
      </c>
      <c r="AH158" s="7">
        <v>0</v>
      </c>
      <c r="AI158" s="7">
        <v>6.0882833149662474E-3</v>
      </c>
      <c r="AJ158" s="7">
        <v>1.0054075142710133</v>
      </c>
      <c r="AK158" s="7">
        <v>2.1637118044411987</v>
      </c>
      <c r="AL158" s="7">
        <v>0</v>
      </c>
      <c r="AM158" s="7">
        <v>3.2315294283409317</v>
      </c>
      <c r="AN158" s="7">
        <v>3.2603543618101796</v>
      </c>
      <c r="AO15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24.147822653603555</v>
      </c>
    </row>
    <row r="159" spans="1:41" x14ac:dyDescent="0.3">
      <c r="A159" s="2" t="s">
        <v>156</v>
      </c>
      <c r="B159">
        <f>'Rådata-K'!N158</f>
        <v>11</v>
      </c>
      <c r="C159" s="7">
        <f>'Rådata-K'!M158</f>
        <v>222.08333333300001</v>
      </c>
      <c r="D159" s="24">
        <f>'Rådata-K'!O158</f>
        <v>1.0973282442748094</v>
      </c>
      <c r="E159" s="24">
        <f>'Rådata-K'!P158</f>
        <v>0.9815776371007896</v>
      </c>
      <c r="F159" s="24">
        <f>'Rådata-K'!Q158</f>
        <v>-7.8635014836795247E-2</v>
      </c>
      <c r="G159" s="24">
        <f>'Rådata-K'!R158</f>
        <v>9.8228663446054756E-2</v>
      </c>
      <c r="H159" s="24">
        <f>'Rådata-K'!S158</f>
        <v>0.16586151368760063</v>
      </c>
      <c r="I159" s="24">
        <f>'Rådata-K'!T158</f>
        <v>-0.1216216216216216</v>
      </c>
      <c r="J159" s="24">
        <f>'Rådata-K'!U158</f>
        <v>0.92340425531914894</v>
      </c>
      <c r="K159" s="24">
        <f>'Rådata-K'!L158</f>
        <v>390600</v>
      </c>
      <c r="L159" s="24">
        <f>Tabell2[[#This Row],[NIBR11]]</f>
        <v>11</v>
      </c>
      <c r="M159" s="24">
        <f>IF(Tabell2[[#This Row],[ReisetidOslo]]&lt;=C$434,C$434,IF(Tabell2[[#This Row],[ReisetidOslo]]&gt;=C$435,C$435,Tabell2[[#This Row],[ReisetidOslo]]))</f>
        <v>222.08333333300001</v>
      </c>
      <c r="N159" s="24">
        <f>IF(Tabell2[[#This Row],[Beftettland]]&lt;=D$434,D$434,IF(Tabell2[[#This Row],[Beftettland]]&gt;=D$435,D$435,Tabell2[[#This Row],[Beftettland]]))</f>
        <v>1.4025423756281519</v>
      </c>
      <c r="O159" s="24">
        <f>IF(Tabell2[[#This Row],[Beftettotal]]&lt;=E$434,E$434,IF(Tabell2[[#This Row],[Beftettotal]]&gt;=E$435,E$435,Tabell2[[#This Row],[Beftettotal]]))</f>
        <v>1.3180632767674032</v>
      </c>
      <c r="P159" s="24">
        <f>IF(Tabell2[[#This Row],[Befvekst10]]&lt;=F$434,F$434,IF(Tabell2[[#This Row],[Befvekst10]]&gt;=F$435,F$435,Tabell2[[#This Row],[Befvekst10]]))</f>
        <v>-7.1062862685144085E-2</v>
      </c>
      <c r="Q159" s="24">
        <f>IF(Tabell2[[#This Row],[Kvinneandel]]&lt;=G$434,G$434,IF(Tabell2[[#This Row],[Kvinneandel]]&gt;=G$435,G$435,Tabell2[[#This Row],[Kvinneandel]]))</f>
        <v>9.8228663446054756E-2</v>
      </c>
      <c r="R159" s="24">
        <f>IF(Tabell2[[#This Row],[Eldreandel]]&lt;=H$434,H$434,IF(Tabell2[[#This Row],[Eldreandel]]&gt;=H$435,H$435,Tabell2[[#This Row],[Eldreandel]]))</f>
        <v>0.16586151368760063</v>
      </c>
      <c r="S159" s="24">
        <f>IF(Tabell2[[#This Row],[Sysselsettingsvekst10]]&lt;=I$434,I$434,IF(Tabell2[[#This Row],[Sysselsettingsvekst10]]&gt;=I$435,I$435,Tabell2[[#This Row],[Sysselsettingsvekst10]]))</f>
        <v>-9.2570207570207563E-2</v>
      </c>
      <c r="T159" s="24">
        <f>IF(Tabell2[[#This Row],[Yrkesaktivandel]]&lt;=J$434,J$434,IF(Tabell2[[#This Row],[Yrkesaktivandel]]&gt;=J$435,J$435,Tabell2[[#This Row],[Yrkesaktivandel]]))</f>
        <v>0.92340425531914894</v>
      </c>
      <c r="U159" s="24">
        <f>IF(Tabell2[[#This Row],[Inntekt]]&lt;=K$434,K$434,IF(Tabell2[[#This Row],[Inntekt]]&gt;=K$435,K$435,Tabell2[[#This Row],[Inntekt]]))</f>
        <v>390600</v>
      </c>
      <c r="V159" s="7">
        <f>IF(Tabell2[[#This Row],[NIBR11-T]]&lt;=L$437,100,IF(Tabell2[[#This Row],[NIBR11-T]]&gt;=L$436,0,100*(L$436-Tabell2[[#This Row],[NIBR11-T]])/L$439))</f>
        <v>0</v>
      </c>
      <c r="W159" s="7">
        <f>(M$436-Tabell2[[#This Row],[ReisetidOslo-T]])*100/M$439</f>
        <v>25.611700182969223</v>
      </c>
      <c r="X159" s="7">
        <f>100-(N$436-Tabell2[[#This Row],[Beftettland-T]])*100/N$439</f>
        <v>0</v>
      </c>
      <c r="Y159" s="7">
        <f>100-(O$436-Tabell2[[#This Row],[Beftettotal-T]])*100/O$439</f>
        <v>0</v>
      </c>
      <c r="Z159" s="7">
        <f>100-(P$436-Tabell2[[#This Row],[Befvekst10-T]])*100/P$439</f>
        <v>0</v>
      </c>
      <c r="AA159" s="7">
        <f>100-(Q$436-Tabell2[[#This Row],[Kvinneandel-T]])*100/Q$439</f>
        <v>22.873343768783684</v>
      </c>
      <c r="AB159" s="7">
        <f>(R$436-Tabell2[[#This Row],[Eldreandel-T]])*100/R$439</f>
        <v>58.784255281044643</v>
      </c>
      <c r="AC159" s="7">
        <f>100-(S$436-Tabell2[[#This Row],[Sysselsettingsvekst10-T]])*100/S$439</f>
        <v>0</v>
      </c>
      <c r="AD159" s="7">
        <f>100-(T$436-Tabell2[[#This Row],[Yrkesaktivandel-T]])*100/T$439</f>
        <v>87.823179156761739</v>
      </c>
      <c r="AE159" s="7">
        <f>100-(U$436-Tabell2[[#This Row],[Inntekt-T]])*100/U$439</f>
        <v>52.12729940187338</v>
      </c>
      <c r="AF159" s="7">
        <v>0</v>
      </c>
      <c r="AG159" s="7">
        <v>2.5611700182969224</v>
      </c>
      <c r="AH159" s="7">
        <v>0</v>
      </c>
      <c r="AI159" s="7">
        <v>0</v>
      </c>
      <c r="AJ159" s="7">
        <v>1.1436671884391842</v>
      </c>
      <c r="AK159" s="7">
        <v>2.9392127640522325</v>
      </c>
      <c r="AL159" s="7">
        <v>0</v>
      </c>
      <c r="AM159" s="7">
        <v>8.7823179156761739</v>
      </c>
      <c r="AN159" s="7">
        <v>5.2127299401873382</v>
      </c>
      <c r="AO15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20.639097826651852</v>
      </c>
    </row>
    <row r="160" spans="1:41" x14ac:dyDescent="0.3">
      <c r="A160" s="2" t="s">
        <v>157</v>
      </c>
      <c r="B160">
        <f>'Rådata-K'!N159</f>
        <v>11</v>
      </c>
      <c r="C160" s="7">
        <f>'Rådata-K'!M159</f>
        <v>215.25</v>
      </c>
      <c r="D160" s="24">
        <f>'Rådata-K'!O159</f>
        <v>0.75326414462671576</v>
      </c>
      <c r="E160" s="24">
        <f>'Rådata-K'!P159</f>
        <v>0.64411470012882299</v>
      </c>
      <c r="F160" s="24">
        <f>'Rådata-K'!Q159</f>
        <v>8.1235697940503337E-2</v>
      </c>
      <c r="G160" s="24">
        <f>'Rådata-K'!R159</f>
        <v>0.13333333333333333</v>
      </c>
      <c r="H160" s="24">
        <f>'Rådata-K'!S159</f>
        <v>0.11216931216931217</v>
      </c>
      <c r="I160" s="24">
        <f>'Rådata-K'!T159</f>
        <v>0.21372549019607834</v>
      </c>
      <c r="J160" s="24">
        <f>'Rådata-K'!U159</f>
        <v>0.93867120954003402</v>
      </c>
      <c r="K160" s="24">
        <f>'Rådata-K'!L159</f>
        <v>432100</v>
      </c>
      <c r="L160" s="24">
        <f>Tabell2[[#This Row],[NIBR11]]</f>
        <v>11</v>
      </c>
      <c r="M160" s="24">
        <f>IF(Tabell2[[#This Row],[ReisetidOslo]]&lt;=C$434,C$434,IF(Tabell2[[#This Row],[ReisetidOslo]]&gt;=C$435,C$435,Tabell2[[#This Row],[ReisetidOslo]]))</f>
        <v>215.25</v>
      </c>
      <c r="N160" s="24">
        <f>IF(Tabell2[[#This Row],[Beftettland]]&lt;=D$434,D$434,IF(Tabell2[[#This Row],[Beftettland]]&gt;=D$435,D$435,Tabell2[[#This Row],[Beftettland]]))</f>
        <v>1.4025423756281519</v>
      </c>
      <c r="O160" s="24">
        <f>IF(Tabell2[[#This Row],[Beftettotal]]&lt;=E$434,E$434,IF(Tabell2[[#This Row],[Beftettotal]]&gt;=E$435,E$435,Tabell2[[#This Row],[Beftettotal]]))</f>
        <v>1.3180632767674032</v>
      </c>
      <c r="P160" s="24">
        <f>IF(Tabell2[[#This Row],[Befvekst10]]&lt;=F$434,F$434,IF(Tabell2[[#This Row],[Befvekst10]]&gt;=F$435,F$435,Tabell2[[#This Row],[Befvekst10]]))</f>
        <v>8.1235697940503337E-2</v>
      </c>
      <c r="Q160" s="24">
        <f>IF(Tabell2[[#This Row],[Kvinneandel]]&lt;=G$434,G$434,IF(Tabell2[[#This Row],[Kvinneandel]]&gt;=G$435,G$435,Tabell2[[#This Row],[Kvinneandel]]))</f>
        <v>0.12758728250318055</v>
      </c>
      <c r="R160" s="24">
        <f>IF(Tabell2[[#This Row],[Eldreandel]]&lt;=H$434,H$434,IF(Tabell2[[#This Row],[Eldreandel]]&gt;=H$435,H$435,Tabell2[[#This Row],[Eldreandel]]))</f>
        <v>0.12767243783057225</v>
      </c>
      <c r="S160" s="24">
        <f>IF(Tabell2[[#This Row],[Sysselsettingsvekst10]]&lt;=I$434,I$434,IF(Tabell2[[#This Row],[Sysselsettingsvekst10]]&gt;=I$435,I$435,Tabell2[[#This Row],[Sysselsettingsvekst10]]))</f>
        <v>0.21372549019607834</v>
      </c>
      <c r="T160" s="24">
        <f>IF(Tabell2[[#This Row],[Yrkesaktivandel]]&lt;=J$434,J$434,IF(Tabell2[[#This Row],[Yrkesaktivandel]]&gt;=J$435,J$435,Tabell2[[#This Row],[Yrkesaktivandel]]))</f>
        <v>0.93867120954003402</v>
      </c>
      <c r="U160" s="24">
        <f>IF(Tabell2[[#This Row],[Inntekt]]&lt;=K$434,K$434,IF(Tabell2[[#This Row],[Inntekt]]&gt;=K$435,K$435,Tabell2[[#This Row],[Inntekt]]))</f>
        <v>432100</v>
      </c>
      <c r="V160" s="7">
        <f>IF(Tabell2[[#This Row],[NIBR11-T]]&lt;=L$437,100,IF(Tabell2[[#This Row],[NIBR11-T]]&gt;=L$436,0,100*(L$436-Tabell2[[#This Row],[NIBR11-T]])/L$439))</f>
        <v>0</v>
      </c>
      <c r="W160" s="7">
        <f>(M$436-Tabell2[[#This Row],[ReisetidOslo-T]])*100/M$439</f>
        <v>28.609872029257769</v>
      </c>
      <c r="X160" s="7">
        <f>100-(N$436-Tabell2[[#This Row],[Beftettland-T]])*100/N$439</f>
        <v>0</v>
      </c>
      <c r="Y160" s="7">
        <f>100-(O$436-Tabell2[[#This Row],[Beftettotal-T]])*100/O$439</f>
        <v>0</v>
      </c>
      <c r="Z160" s="7">
        <f>100-(P$436-Tabell2[[#This Row],[Befvekst10-T]])*100/P$439</f>
        <v>61.64452557575833</v>
      </c>
      <c r="AA160" s="7">
        <f>100-(Q$436-Tabell2[[#This Row],[Kvinneandel-T]])*100/Q$439</f>
        <v>100</v>
      </c>
      <c r="AB160" s="7">
        <f>(R$436-Tabell2[[#This Row],[Eldreandel-T]])*100/R$439</f>
        <v>100</v>
      </c>
      <c r="AC160" s="7">
        <f>100-(S$436-Tabell2[[#This Row],[Sysselsettingsvekst10-T]])*100/S$439</f>
        <v>99.959999407862398</v>
      </c>
      <c r="AD160" s="7">
        <f>100-(T$436-Tabell2[[#This Row],[Yrkesaktivandel-T]])*100/T$439</f>
        <v>98.590867656125567</v>
      </c>
      <c r="AE160" s="7">
        <f>100-(U$436-Tabell2[[#This Row],[Inntekt-T]])*100/U$439</f>
        <v>98.961742466990188</v>
      </c>
      <c r="AF160" s="7">
        <v>0</v>
      </c>
      <c r="AG160" s="7">
        <v>2.8609872029257772</v>
      </c>
      <c r="AH160" s="7">
        <v>0</v>
      </c>
      <c r="AI160" s="7">
        <v>12.328905115151667</v>
      </c>
      <c r="AJ160" s="7">
        <v>5</v>
      </c>
      <c r="AK160" s="7">
        <v>5</v>
      </c>
      <c r="AL160" s="7">
        <v>9.9959999407862412</v>
      </c>
      <c r="AM160" s="7">
        <v>9.8590867656125578</v>
      </c>
      <c r="AN160" s="7">
        <v>9.8961742466990188</v>
      </c>
      <c r="AO16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54.941153271175267</v>
      </c>
    </row>
    <row r="161" spans="1:41" x14ac:dyDescent="0.3">
      <c r="A161" s="2" t="s">
        <v>158</v>
      </c>
      <c r="B161">
        <f>'Rådata-K'!N160</f>
        <v>2</v>
      </c>
      <c r="C161" s="7">
        <f>'Rådata-K'!M160</f>
        <v>158.8166666667</v>
      </c>
      <c r="D161" s="24">
        <f>'Rådata-K'!O160</f>
        <v>341.30971675542179</v>
      </c>
      <c r="E161" s="24">
        <f>'Rådata-K'!P160</f>
        <v>319.85751482713732</v>
      </c>
      <c r="F161" s="24">
        <f>'Rådata-K'!Q160</f>
        <v>0.14990184224553738</v>
      </c>
      <c r="G161" s="24">
        <f>'Rådata-K'!R160</f>
        <v>0.138602779065429</v>
      </c>
      <c r="H161" s="24">
        <f>'Rådata-K'!S160</f>
        <v>0.12969348875597816</v>
      </c>
      <c r="I161" s="24">
        <f>'Rådata-K'!T160</f>
        <v>0.16181855869550188</v>
      </c>
      <c r="J161" s="24">
        <f>'Rådata-K'!U160</f>
        <v>0.80149501661129563</v>
      </c>
      <c r="K161" s="24">
        <f>'Rådata-K'!L160</f>
        <v>408300</v>
      </c>
      <c r="L161" s="24">
        <f>Tabell2[[#This Row],[NIBR11]]</f>
        <v>2</v>
      </c>
      <c r="M161" s="24">
        <f>IF(Tabell2[[#This Row],[ReisetidOslo]]&lt;=C$434,C$434,IF(Tabell2[[#This Row],[ReisetidOslo]]&gt;=C$435,C$435,Tabell2[[#This Row],[ReisetidOslo]]))</f>
        <v>158.8166666667</v>
      </c>
      <c r="N161" s="24">
        <f>IF(Tabell2[[#This Row],[Beftettland]]&lt;=D$434,D$434,IF(Tabell2[[#This Row],[Beftettland]]&gt;=D$435,D$435,Tabell2[[#This Row],[Beftettland]]))</f>
        <v>136.59179999736304</v>
      </c>
      <c r="O161" s="24">
        <f>IF(Tabell2[[#This Row],[Beftettotal]]&lt;=E$434,E$434,IF(Tabell2[[#This Row],[Beftettotal]]&gt;=E$435,E$435,Tabell2[[#This Row],[Beftettotal]]))</f>
        <v>131.96212083018065</v>
      </c>
      <c r="P161" s="24">
        <f>IF(Tabell2[[#This Row],[Befvekst10]]&lt;=F$434,F$434,IF(Tabell2[[#This Row],[Befvekst10]]&gt;=F$435,F$435,Tabell2[[#This Row],[Befvekst10]]))</f>
        <v>0.14990184224553738</v>
      </c>
      <c r="Q161" s="24">
        <f>IF(Tabell2[[#This Row],[Kvinneandel]]&lt;=G$434,G$434,IF(Tabell2[[#This Row],[Kvinneandel]]&gt;=G$435,G$435,Tabell2[[#This Row],[Kvinneandel]]))</f>
        <v>0.12758728250318055</v>
      </c>
      <c r="R161" s="24">
        <f>IF(Tabell2[[#This Row],[Eldreandel]]&lt;=H$434,H$434,IF(Tabell2[[#This Row],[Eldreandel]]&gt;=H$435,H$435,Tabell2[[#This Row],[Eldreandel]]))</f>
        <v>0.12969348875597816</v>
      </c>
      <c r="S161" s="24">
        <f>IF(Tabell2[[#This Row],[Sysselsettingsvekst10]]&lt;=I$434,I$434,IF(Tabell2[[#This Row],[Sysselsettingsvekst10]]&gt;=I$435,I$435,Tabell2[[#This Row],[Sysselsettingsvekst10]]))</f>
        <v>0.16181855869550188</v>
      </c>
      <c r="T161" s="24">
        <f>IF(Tabell2[[#This Row],[Yrkesaktivandel]]&lt;=J$434,J$434,IF(Tabell2[[#This Row],[Yrkesaktivandel]]&gt;=J$435,J$435,Tabell2[[#This Row],[Yrkesaktivandel]]))</f>
        <v>0.80149501661129563</v>
      </c>
      <c r="U161" s="24">
        <f>IF(Tabell2[[#This Row],[Inntekt]]&lt;=K$434,K$434,IF(Tabell2[[#This Row],[Inntekt]]&gt;=K$435,K$435,Tabell2[[#This Row],[Inntekt]]))</f>
        <v>408300</v>
      </c>
      <c r="V161" s="7">
        <f>IF(Tabell2[[#This Row],[NIBR11-T]]&lt;=L$437,100,IF(Tabell2[[#This Row],[NIBR11-T]]&gt;=L$436,0,100*(L$436-Tabell2[[#This Row],[NIBR11-T]])/L$439))</f>
        <v>90</v>
      </c>
      <c r="W161" s="7">
        <f>(M$436-Tabell2[[#This Row],[ReisetidOslo-T]])*100/M$439</f>
        <v>53.370383912238779</v>
      </c>
      <c r="X161" s="7">
        <f>100-(N$436-Tabell2[[#This Row],[Beftettland-T]])*100/N$439</f>
        <v>100</v>
      </c>
      <c r="Y161" s="7">
        <f>100-(O$436-Tabell2[[#This Row],[Beftettotal-T]])*100/O$439</f>
        <v>100</v>
      </c>
      <c r="Z161" s="7">
        <f>100-(P$436-Tabell2[[#This Row],[Befvekst10-T]])*100/P$439</f>
        <v>89.437906362888071</v>
      </c>
      <c r="AA161" s="7">
        <f>100-(Q$436-Tabell2[[#This Row],[Kvinneandel-T]])*100/Q$439</f>
        <v>100</v>
      </c>
      <c r="AB161" s="7">
        <f>(R$436-Tabell2[[#This Row],[Eldreandel-T]])*100/R$439</f>
        <v>97.818771019299021</v>
      </c>
      <c r="AC161" s="7">
        <f>100-(S$436-Tabell2[[#This Row],[Sysselsettingsvekst10-T]])*100/S$439</f>
        <v>83.020104790012851</v>
      </c>
      <c r="AD161" s="7">
        <f>100-(T$436-Tabell2[[#This Row],[Yrkesaktivandel-T]])*100/T$439</f>
        <v>1.8413461985536514</v>
      </c>
      <c r="AE161" s="7">
        <f>100-(U$436-Tabell2[[#This Row],[Inntekt-T]])*100/U$439</f>
        <v>72.102471504344891</v>
      </c>
      <c r="AF161" s="7">
        <v>18</v>
      </c>
      <c r="AG161" s="7">
        <v>5.3370383912238779</v>
      </c>
      <c r="AH161" s="7">
        <v>10</v>
      </c>
      <c r="AI161" s="7">
        <v>17.887581272577616</v>
      </c>
      <c r="AJ161" s="7">
        <v>5</v>
      </c>
      <c r="AK161" s="7">
        <v>4.8909385509649512</v>
      </c>
      <c r="AL161" s="7">
        <v>8.3020104790012859</v>
      </c>
      <c r="AM161" s="7">
        <v>0.18413461985536517</v>
      </c>
      <c r="AN161" s="7">
        <v>7.2102471504344896</v>
      </c>
      <c r="AO16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76.811950464057588</v>
      </c>
    </row>
    <row r="162" spans="1:41" x14ac:dyDescent="0.3">
      <c r="A162" s="2" t="s">
        <v>159</v>
      </c>
      <c r="B162">
        <f>'Rådata-K'!N161</f>
        <v>5</v>
      </c>
      <c r="C162" s="7">
        <f>'Rådata-K'!M161</f>
        <v>194.4</v>
      </c>
      <c r="D162" s="24">
        <f>'Rådata-K'!O161</f>
        <v>73.7334409572195</v>
      </c>
      <c r="E162" s="24">
        <f>'Rådata-K'!P161</f>
        <v>69.774442846872759</v>
      </c>
      <c r="F162" s="24">
        <f>'Rådata-K'!Q161</f>
        <v>0.10377425545525631</v>
      </c>
      <c r="G162" s="24">
        <f>'Rådata-K'!R161</f>
        <v>0.11835919891815314</v>
      </c>
      <c r="H162" s="24">
        <f>'Rådata-K'!S161</f>
        <v>0.15113658316697792</v>
      </c>
      <c r="I162" s="24">
        <f>'Rådata-K'!T161</f>
        <v>6.771292540998064E-2</v>
      </c>
      <c r="J162" s="24">
        <f>'Rådata-K'!U161</f>
        <v>0.79610551341560054</v>
      </c>
      <c r="K162" s="24">
        <f>'Rådata-K'!L161</f>
        <v>389500</v>
      </c>
      <c r="L162" s="24">
        <f>Tabell2[[#This Row],[NIBR11]]</f>
        <v>5</v>
      </c>
      <c r="M162" s="24">
        <f>IF(Tabell2[[#This Row],[ReisetidOslo]]&lt;=C$434,C$434,IF(Tabell2[[#This Row],[ReisetidOslo]]&gt;=C$435,C$435,Tabell2[[#This Row],[ReisetidOslo]]))</f>
        <v>194.4</v>
      </c>
      <c r="N162" s="24">
        <f>IF(Tabell2[[#This Row],[Beftettland]]&lt;=D$434,D$434,IF(Tabell2[[#This Row],[Beftettland]]&gt;=D$435,D$435,Tabell2[[#This Row],[Beftettland]]))</f>
        <v>73.7334409572195</v>
      </c>
      <c r="O162" s="24">
        <f>IF(Tabell2[[#This Row],[Beftettotal]]&lt;=E$434,E$434,IF(Tabell2[[#This Row],[Beftettotal]]&gt;=E$435,E$435,Tabell2[[#This Row],[Beftettotal]]))</f>
        <v>69.774442846872759</v>
      </c>
      <c r="P162" s="24">
        <f>IF(Tabell2[[#This Row],[Befvekst10]]&lt;=F$434,F$434,IF(Tabell2[[#This Row],[Befvekst10]]&gt;=F$435,F$435,Tabell2[[#This Row],[Befvekst10]]))</f>
        <v>0.10377425545525631</v>
      </c>
      <c r="Q162" s="24">
        <f>IF(Tabell2[[#This Row],[Kvinneandel]]&lt;=G$434,G$434,IF(Tabell2[[#This Row],[Kvinneandel]]&gt;=G$435,G$435,Tabell2[[#This Row],[Kvinneandel]]))</f>
        <v>0.11835919891815314</v>
      </c>
      <c r="R162" s="24">
        <f>IF(Tabell2[[#This Row],[Eldreandel]]&lt;=H$434,H$434,IF(Tabell2[[#This Row],[Eldreandel]]&gt;=H$435,H$435,Tabell2[[#This Row],[Eldreandel]]))</f>
        <v>0.15113658316697792</v>
      </c>
      <c r="S162" s="24">
        <f>IF(Tabell2[[#This Row],[Sysselsettingsvekst10]]&lt;=I$434,I$434,IF(Tabell2[[#This Row],[Sysselsettingsvekst10]]&gt;=I$435,I$435,Tabell2[[#This Row],[Sysselsettingsvekst10]]))</f>
        <v>6.771292540998064E-2</v>
      </c>
      <c r="T162" s="24">
        <f>IF(Tabell2[[#This Row],[Yrkesaktivandel]]&lt;=J$434,J$434,IF(Tabell2[[#This Row],[Yrkesaktivandel]]&gt;=J$435,J$435,Tabell2[[#This Row],[Yrkesaktivandel]]))</f>
        <v>0.79888426611272945</v>
      </c>
      <c r="U162" s="24">
        <f>IF(Tabell2[[#This Row],[Inntekt]]&lt;=K$434,K$434,IF(Tabell2[[#This Row],[Inntekt]]&gt;=K$435,K$435,Tabell2[[#This Row],[Inntekt]]))</f>
        <v>389500</v>
      </c>
      <c r="V162" s="7">
        <f>IF(Tabell2[[#This Row],[NIBR11-T]]&lt;=L$437,100,IF(Tabell2[[#This Row],[NIBR11-T]]&gt;=L$436,0,100*(L$436-Tabell2[[#This Row],[NIBR11-T]])/L$439))</f>
        <v>60</v>
      </c>
      <c r="W162" s="7">
        <f>(M$436-Tabell2[[#This Row],[ReisetidOslo-T]])*100/M$439</f>
        <v>37.757952468013684</v>
      </c>
      <c r="X162" s="7">
        <f>100-(N$436-Tabell2[[#This Row],[Beftettland-T]])*100/N$439</f>
        <v>53.503436481599877</v>
      </c>
      <c r="Y162" s="7">
        <f>100-(O$436-Tabell2[[#This Row],[Beftettotal-T]])*100/O$439</f>
        <v>52.399152974958142</v>
      </c>
      <c r="Z162" s="7">
        <f>100-(P$436-Tabell2[[#This Row],[Befvekst10-T]])*100/P$439</f>
        <v>70.767255819900342</v>
      </c>
      <c r="AA162" s="7">
        <f>100-(Q$436-Tabell2[[#This Row],[Kvinneandel-T]])*100/Q$439</f>
        <v>75.757332831273231</v>
      </c>
      <c r="AB162" s="7">
        <f>(R$436-Tabell2[[#This Row],[Eldreandel-T]])*100/R$439</f>
        <v>74.676207723529458</v>
      </c>
      <c r="AC162" s="7">
        <f>100-(S$436-Tabell2[[#This Row],[Sysselsettingsvekst10-T]])*100/S$439</f>
        <v>52.308608950868134</v>
      </c>
      <c r="AD162" s="7">
        <f>100-(T$436-Tabell2[[#This Row],[Yrkesaktivandel-T]])*100/T$439</f>
        <v>0</v>
      </c>
      <c r="AE162" s="7">
        <f>100-(U$436-Tabell2[[#This Row],[Inntekt-T]])*100/U$439</f>
        <v>50.885904525448595</v>
      </c>
      <c r="AF162" s="7">
        <v>12</v>
      </c>
      <c r="AG162" s="7">
        <v>3.7757952468013687</v>
      </c>
      <c r="AH162" s="7">
        <v>5.2399152974958145</v>
      </c>
      <c r="AI162" s="7">
        <v>14.153451163980069</v>
      </c>
      <c r="AJ162" s="7">
        <v>3.7878666415636619</v>
      </c>
      <c r="AK162" s="7">
        <v>3.7338103861764731</v>
      </c>
      <c r="AL162" s="7">
        <v>5.2308608950868134</v>
      </c>
      <c r="AM162" s="7">
        <v>0</v>
      </c>
      <c r="AN162" s="7">
        <v>5.0885904525448602</v>
      </c>
      <c r="AO16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53.010290083649068</v>
      </c>
    </row>
    <row r="163" spans="1:41" x14ac:dyDescent="0.3">
      <c r="A163" s="2" t="s">
        <v>160</v>
      </c>
      <c r="B163">
        <f>'Rådata-K'!N162</f>
        <v>6</v>
      </c>
      <c r="C163" s="7">
        <f>'Rådata-K'!M162</f>
        <v>231.8166666667</v>
      </c>
      <c r="D163" s="24">
        <f>'Rådata-K'!O162</f>
        <v>38.53790255330977</v>
      </c>
      <c r="E163" s="24">
        <f>'Rådata-K'!P162</f>
        <v>36.964387735669398</v>
      </c>
      <c r="F163" s="24">
        <f>'Rådata-K'!Q162</f>
        <v>2.7419013338979559E-2</v>
      </c>
      <c r="G163" s="24">
        <f>'Rådata-K'!R162</f>
        <v>0.10695517774343122</v>
      </c>
      <c r="H163" s="24">
        <f>'Rådata-K'!S162</f>
        <v>0.16960329726944873</v>
      </c>
      <c r="I163" s="24">
        <f>'Rådata-K'!T162</f>
        <v>1.9928461931527863E-2</v>
      </c>
      <c r="J163" s="24">
        <f>'Rådata-K'!U162</f>
        <v>0.88159879336349922</v>
      </c>
      <c r="K163" s="24">
        <f>'Rådata-K'!L162</f>
        <v>400200</v>
      </c>
      <c r="L163" s="24">
        <f>Tabell2[[#This Row],[NIBR11]]</f>
        <v>6</v>
      </c>
      <c r="M163" s="24">
        <f>IF(Tabell2[[#This Row],[ReisetidOslo]]&lt;=C$434,C$434,IF(Tabell2[[#This Row],[ReisetidOslo]]&gt;=C$435,C$435,Tabell2[[#This Row],[ReisetidOslo]]))</f>
        <v>231.8166666667</v>
      </c>
      <c r="N163" s="24">
        <f>IF(Tabell2[[#This Row],[Beftettland]]&lt;=D$434,D$434,IF(Tabell2[[#This Row],[Beftettland]]&gt;=D$435,D$435,Tabell2[[#This Row],[Beftettland]]))</f>
        <v>38.53790255330977</v>
      </c>
      <c r="O163" s="24">
        <f>IF(Tabell2[[#This Row],[Beftettotal]]&lt;=E$434,E$434,IF(Tabell2[[#This Row],[Beftettotal]]&gt;=E$435,E$435,Tabell2[[#This Row],[Beftettotal]]))</f>
        <v>36.964387735669398</v>
      </c>
      <c r="P163" s="24">
        <f>IF(Tabell2[[#This Row],[Befvekst10]]&lt;=F$434,F$434,IF(Tabell2[[#This Row],[Befvekst10]]&gt;=F$435,F$435,Tabell2[[#This Row],[Befvekst10]]))</f>
        <v>2.7419013338979559E-2</v>
      </c>
      <c r="Q163" s="24">
        <f>IF(Tabell2[[#This Row],[Kvinneandel]]&lt;=G$434,G$434,IF(Tabell2[[#This Row],[Kvinneandel]]&gt;=G$435,G$435,Tabell2[[#This Row],[Kvinneandel]]))</f>
        <v>0.10695517774343122</v>
      </c>
      <c r="R163" s="24">
        <f>IF(Tabell2[[#This Row],[Eldreandel]]&lt;=H$434,H$434,IF(Tabell2[[#This Row],[Eldreandel]]&gt;=H$435,H$435,Tabell2[[#This Row],[Eldreandel]]))</f>
        <v>0.16960329726944873</v>
      </c>
      <c r="S163" s="24">
        <f>IF(Tabell2[[#This Row],[Sysselsettingsvekst10]]&lt;=I$434,I$434,IF(Tabell2[[#This Row],[Sysselsettingsvekst10]]&gt;=I$435,I$435,Tabell2[[#This Row],[Sysselsettingsvekst10]]))</f>
        <v>1.9928461931527863E-2</v>
      </c>
      <c r="T163" s="24">
        <f>IF(Tabell2[[#This Row],[Yrkesaktivandel]]&lt;=J$434,J$434,IF(Tabell2[[#This Row],[Yrkesaktivandel]]&gt;=J$435,J$435,Tabell2[[#This Row],[Yrkesaktivandel]]))</f>
        <v>0.88159879336349922</v>
      </c>
      <c r="U163" s="24">
        <f>IF(Tabell2[[#This Row],[Inntekt]]&lt;=K$434,K$434,IF(Tabell2[[#This Row],[Inntekt]]&gt;=K$435,K$435,Tabell2[[#This Row],[Inntekt]]))</f>
        <v>400200</v>
      </c>
      <c r="V163" s="7">
        <f>IF(Tabell2[[#This Row],[NIBR11-T]]&lt;=L$437,100,IF(Tabell2[[#This Row],[NIBR11-T]]&gt;=L$436,0,100*(L$436-Tabell2[[#This Row],[NIBR11-T]])/L$439))</f>
        <v>50</v>
      </c>
      <c r="W163" s="7">
        <f>(M$436-Tabell2[[#This Row],[ReisetidOslo-T]])*100/M$439</f>
        <v>21.341133455203668</v>
      </c>
      <c r="X163" s="7">
        <f>100-(N$436-Tabell2[[#This Row],[Beftettland-T]])*100/N$439</f>
        <v>27.469164955094215</v>
      </c>
      <c r="Y163" s="7">
        <f>100-(O$436-Tabell2[[#This Row],[Beftettotal-T]])*100/O$439</f>
        <v>27.285071457864177</v>
      </c>
      <c r="Z163" s="7">
        <f>100-(P$436-Tabell2[[#This Row],[Befvekst10-T]])*100/P$439</f>
        <v>39.861627715839376</v>
      </c>
      <c r="AA163" s="7">
        <f>100-(Q$436-Tabell2[[#This Row],[Kvinneandel-T]])*100/Q$439</f>
        <v>45.798361699665882</v>
      </c>
      <c r="AB163" s="7">
        <f>(R$436-Tabell2[[#This Row],[Eldreandel-T]])*100/R$439</f>
        <v>54.745917263115196</v>
      </c>
      <c r="AC163" s="7">
        <f>100-(S$436-Tabell2[[#This Row],[Sysselsettingsvekst10-T]])*100/S$439</f>
        <v>36.714087134711839</v>
      </c>
      <c r="AD163" s="7">
        <f>100-(T$436-Tabell2[[#This Row],[Yrkesaktivandel-T]])*100/T$439</f>
        <v>58.338045095467329</v>
      </c>
      <c r="AE163" s="7">
        <f>100-(U$436-Tabell2[[#This Row],[Inntekt-T]])*100/U$439</f>
        <v>62.961291050671484</v>
      </c>
      <c r="AF163" s="7">
        <v>10</v>
      </c>
      <c r="AG163" s="7">
        <v>2.1341133455203667</v>
      </c>
      <c r="AH163" s="7">
        <v>2.7285071457864181</v>
      </c>
      <c r="AI163" s="7">
        <v>7.9723255431678757</v>
      </c>
      <c r="AJ163" s="7">
        <v>2.2899180849832943</v>
      </c>
      <c r="AK163" s="7">
        <v>2.7372958631557598</v>
      </c>
      <c r="AL163" s="7">
        <v>3.6714087134711839</v>
      </c>
      <c r="AM163" s="7">
        <v>5.8338045095467335</v>
      </c>
      <c r="AN163" s="7">
        <v>6.2961291050671484</v>
      </c>
      <c r="AO16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43.663502310698789</v>
      </c>
    </row>
    <row r="164" spans="1:41" x14ac:dyDescent="0.3">
      <c r="A164" s="2" t="s">
        <v>161</v>
      </c>
      <c r="B164">
        <f>'Rådata-K'!N163</f>
        <v>6</v>
      </c>
      <c r="C164" s="7">
        <f>'Rådata-K'!M163</f>
        <v>244.0833333333</v>
      </c>
      <c r="D164" s="24">
        <f>'Rådata-K'!O163</f>
        <v>18.876852197733783</v>
      </c>
      <c r="E164" s="24">
        <f>'Rådata-K'!P163</f>
        <v>16.735046823542401</v>
      </c>
      <c r="F164" s="24">
        <f>'Rådata-K'!Q163</f>
        <v>2.7564392227745094E-2</v>
      </c>
      <c r="G164" s="24">
        <f>'Rådata-K'!R163</f>
        <v>0.10576077396657872</v>
      </c>
      <c r="H164" s="24">
        <f>'Rådata-K'!S163</f>
        <v>0.17458223394898856</v>
      </c>
      <c r="I164" s="24">
        <f>'Rådata-K'!T163</f>
        <v>4.104383075753737E-2</v>
      </c>
      <c r="J164" s="24">
        <f>'Rådata-K'!U163</f>
        <v>0.85790619433999604</v>
      </c>
      <c r="K164" s="24">
        <f>'Rådata-K'!L163</f>
        <v>404900</v>
      </c>
      <c r="L164" s="24">
        <f>Tabell2[[#This Row],[NIBR11]]</f>
        <v>6</v>
      </c>
      <c r="M164" s="24">
        <f>IF(Tabell2[[#This Row],[ReisetidOslo]]&lt;=C$434,C$434,IF(Tabell2[[#This Row],[ReisetidOslo]]&gt;=C$435,C$435,Tabell2[[#This Row],[ReisetidOslo]]))</f>
        <v>244.0833333333</v>
      </c>
      <c r="N164" s="24">
        <f>IF(Tabell2[[#This Row],[Beftettland]]&lt;=D$434,D$434,IF(Tabell2[[#This Row],[Beftettland]]&gt;=D$435,D$435,Tabell2[[#This Row],[Beftettland]]))</f>
        <v>18.876852197733783</v>
      </c>
      <c r="O164" s="24">
        <f>IF(Tabell2[[#This Row],[Beftettotal]]&lt;=E$434,E$434,IF(Tabell2[[#This Row],[Beftettotal]]&gt;=E$435,E$435,Tabell2[[#This Row],[Beftettotal]]))</f>
        <v>16.735046823542401</v>
      </c>
      <c r="P164" s="24">
        <f>IF(Tabell2[[#This Row],[Befvekst10]]&lt;=F$434,F$434,IF(Tabell2[[#This Row],[Befvekst10]]&gt;=F$435,F$435,Tabell2[[#This Row],[Befvekst10]]))</f>
        <v>2.7564392227745094E-2</v>
      </c>
      <c r="Q164" s="24">
        <f>IF(Tabell2[[#This Row],[Kvinneandel]]&lt;=G$434,G$434,IF(Tabell2[[#This Row],[Kvinneandel]]&gt;=G$435,G$435,Tabell2[[#This Row],[Kvinneandel]]))</f>
        <v>0.10576077396657872</v>
      </c>
      <c r="R164" s="24">
        <f>IF(Tabell2[[#This Row],[Eldreandel]]&lt;=H$434,H$434,IF(Tabell2[[#This Row],[Eldreandel]]&gt;=H$435,H$435,Tabell2[[#This Row],[Eldreandel]]))</f>
        <v>0.17458223394898856</v>
      </c>
      <c r="S164" s="24">
        <f>IF(Tabell2[[#This Row],[Sysselsettingsvekst10]]&lt;=I$434,I$434,IF(Tabell2[[#This Row],[Sysselsettingsvekst10]]&gt;=I$435,I$435,Tabell2[[#This Row],[Sysselsettingsvekst10]]))</f>
        <v>4.104383075753737E-2</v>
      </c>
      <c r="T164" s="24">
        <f>IF(Tabell2[[#This Row],[Yrkesaktivandel]]&lt;=J$434,J$434,IF(Tabell2[[#This Row],[Yrkesaktivandel]]&gt;=J$435,J$435,Tabell2[[#This Row],[Yrkesaktivandel]]))</f>
        <v>0.85790619433999604</v>
      </c>
      <c r="U164" s="24">
        <f>IF(Tabell2[[#This Row],[Inntekt]]&lt;=K$434,K$434,IF(Tabell2[[#This Row],[Inntekt]]&gt;=K$435,K$435,Tabell2[[#This Row],[Inntekt]]))</f>
        <v>404900</v>
      </c>
      <c r="V164" s="7">
        <f>IF(Tabell2[[#This Row],[NIBR11-T]]&lt;=L$437,100,IF(Tabell2[[#This Row],[NIBR11-T]]&gt;=L$436,0,100*(L$436-Tabell2[[#This Row],[NIBR11-T]])/L$439))</f>
        <v>50</v>
      </c>
      <c r="W164" s="7">
        <f>(M$436-Tabell2[[#This Row],[ReisetidOslo-T]])*100/M$439</f>
        <v>15.959049360169484</v>
      </c>
      <c r="X164" s="7">
        <f>100-(N$436-Tabell2[[#This Row],[Beftettland-T]])*100/N$439</f>
        <v>12.925812397756829</v>
      </c>
      <c r="Y164" s="7">
        <f>100-(O$436-Tabell2[[#This Row],[Beftettotal-T]])*100/O$439</f>
        <v>11.800753769816012</v>
      </c>
      <c r="Z164" s="7">
        <f>100-(P$436-Tabell2[[#This Row],[Befvekst10-T]])*100/P$439</f>
        <v>39.920471427755416</v>
      </c>
      <c r="AA164" s="7">
        <f>100-(Q$436-Tabell2[[#This Row],[Kvinneandel-T]])*100/Q$439</f>
        <v>42.660599350581208</v>
      </c>
      <c r="AB164" s="7">
        <f>(R$436-Tabell2[[#This Row],[Eldreandel-T]])*100/R$439</f>
        <v>49.372375784289659</v>
      </c>
      <c r="AC164" s="7">
        <f>100-(S$436-Tabell2[[#This Row],[Sysselsettingsvekst10-T]])*100/S$439</f>
        <v>43.605115218806034</v>
      </c>
      <c r="AD164" s="7">
        <f>100-(T$436-Tabell2[[#This Row],[Yrkesaktivandel-T]])*100/T$439</f>
        <v>41.627801366798842</v>
      </c>
      <c r="AE164" s="7">
        <f>100-(U$436-Tabell2[[#This Row],[Inntekt-T]])*100/U$439</f>
        <v>68.265432795395554</v>
      </c>
      <c r="AF164" s="7">
        <v>10</v>
      </c>
      <c r="AG164" s="7">
        <v>1.5959049360169484</v>
      </c>
      <c r="AH164" s="7">
        <v>1.1800753769816013</v>
      </c>
      <c r="AI164" s="7">
        <v>7.9840942855510839</v>
      </c>
      <c r="AJ164" s="7">
        <v>2.1330299675290605</v>
      </c>
      <c r="AK164" s="7">
        <v>2.4686187892144833</v>
      </c>
      <c r="AL164" s="7">
        <v>4.3605115218806034</v>
      </c>
      <c r="AM164" s="7">
        <v>4.162780136679884</v>
      </c>
      <c r="AN164" s="7">
        <v>6.826543279539556</v>
      </c>
      <c r="AO16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40.711558293393225</v>
      </c>
    </row>
    <row r="165" spans="1:41" x14ac:dyDescent="0.3">
      <c r="A165" s="2" t="s">
        <v>162</v>
      </c>
      <c r="B165">
        <f>'Rådata-K'!N164</f>
        <v>2</v>
      </c>
      <c r="C165" s="7">
        <f>'Rådata-K'!M164</f>
        <v>158.61666666669998</v>
      </c>
      <c r="D165" s="24">
        <f>'Rådata-K'!O164</f>
        <v>39.520494972931168</v>
      </c>
      <c r="E165" s="24">
        <f>'Rådata-K'!P164</f>
        <v>37.214867219809086</v>
      </c>
      <c r="F165" s="24">
        <f>'Rådata-K'!Q164</f>
        <v>0.14345081115639724</v>
      </c>
      <c r="G165" s="24">
        <f>'Rådata-K'!R164</f>
        <v>0.13488957226726306</v>
      </c>
      <c r="H165" s="24">
        <f>'Rådata-K'!S164</f>
        <v>0.12776069331842327</v>
      </c>
      <c r="I165" s="24">
        <f>'Rådata-K'!T164</f>
        <v>7.6825557809330647E-2</v>
      </c>
      <c r="J165" s="24">
        <f>'Rådata-K'!U164</f>
        <v>0.80698835274542424</v>
      </c>
      <c r="K165" s="24">
        <f>'Rådata-K'!L164</f>
        <v>369800</v>
      </c>
      <c r="L165" s="24">
        <f>Tabell2[[#This Row],[NIBR11]]</f>
        <v>2</v>
      </c>
      <c r="M165" s="24">
        <f>IF(Tabell2[[#This Row],[ReisetidOslo]]&lt;=C$434,C$434,IF(Tabell2[[#This Row],[ReisetidOslo]]&gt;=C$435,C$435,Tabell2[[#This Row],[ReisetidOslo]]))</f>
        <v>158.61666666669998</v>
      </c>
      <c r="N165" s="24">
        <f>IF(Tabell2[[#This Row],[Beftettland]]&lt;=D$434,D$434,IF(Tabell2[[#This Row],[Beftettland]]&gt;=D$435,D$435,Tabell2[[#This Row],[Beftettland]]))</f>
        <v>39.520494972931168</v>
      </c>
      <c r="O165" s="24">
        <f>IF(Tabell2[[#This Row],[Beftettotal]]&lt;=E$434,E$434,IF(Tabell2[[#This Row],[Beftettotal]]&gt;=E$435,E$435,Tabell2[[#This Row],[Beftettotal]]))</f>
        <v>37.214867219809086</v>
      </c>
      <c r="P165" s="24">
        <f>IF(Tabell2[[#This Row],[Befvekst10]]&lt;=F$434,F$434,IF(Tabell2[[#This Row],[Befvekst10]]&gt;=F$435,F$435,Tabell2[[#This Row],[Befvekst10]]))</f>
        <v>0.14345081115639724</v>
      </c>
      <c r="Q165" s="24">
        <f>IF(Tabell2[[#This Row],[Kvinneandel]]&lt;=G$434,G$434,IF(Tabell2[[#This Row],[Kvinneandel]]&gt;=G$435,G$435,Tabell2[[#This Row],[Kvinneandel]]))</f>
        <v>0.12758728250318055</v>
      </c>
      <c r="R165" s="24">
        <f>IF(Tabell2[[#This Row],[Eldreandel]]&lt;=H$434,H$434,IF(Tabell2[[#This Row],[Eldreandel]]&gt;=H$435,H$435,Tabell2[[#This Row],[Eldreandel]]))</f>
        <v>0.12776069331842327</v>
      </c>
      <c r="S165" s="24">
        <f>IF(Tabell2[[#This Row],[Sysselsettingsvekst10]]&lt;=I$434,I$434,IF(Tabell2[[#This Row],[Sysselsettingsvekst10]]&gt;=I$435,I$435,Tabell2[[#This Row],[Sysselsettingsvekst10]]))</f>
        <v>7.6825557809330647E-2</v>
      </c>
      <c r="T165" s="24">
        <f>IF(Tabell2[[#This Row],[Yrkesaktivandel]]&lt;=J$434,J$434,IF(Tabell2[[#This Row],[Yrkesaktivandel]]&gt;=J$435,J$435,Tabell2[[#This Row],[Yrkesaktivandel]]))</f>
        <v>0.80698835274542424</v>
      </c>
      <c r="U165" s="24">
        <f>IF(Tabell2[[#This Row],[Inntekt]]&lt;=K$434,K$434,IF(Tabell2[[#This Row],[Inntekt]]&gt;=K$435,K$435,Tabell2[[#This Row],[Inntekt]]))</f>
        <v>369800</v>
      </c>
      <c r="V165" s="7">
        <f>IF(Tabell2[[#This Row],[NIBR11-T]]&lt;=L$437,100,IF(Tabell2[[#This Row],[NIBR11-T]]&gt;=L$436,0,100*(L$436-Tabell2[[#This Row],[NIBR11-T]])/L$439))</f>
        <v>90</v>
      </c>
      <c r="W165" s="7">
        <f>(M$436-Tabell2[[#This Row],[ReisetidOslo-T]])*100/M$439</f>
        <v>53.458135283353954</v>
      </c>
      <c r="X165" s="7">
        <f>100-(N$436-Tabell2[[#This Row],[Beftettland-T]])*100/N$439</f>
        <v>28.195992246631491</v>
      </c>
      <c r="Y165" s="7">
        <f>100-(O$436-Tabell2[[#This Row],[Beftettotal-T]])*100/O$439</f>
        <v>27.476798114882072</v>
      </c>
      <c r="Z165" s="7">
        <f>100-(P$436-Tabell2[[#This Row],[Befvekst10-T]])*100/P$439</f>
        <v>86.826780234506643</v>
      </c>
      <c r="AA165" s="7">
        <f>100-(Q$436-Tabell2[[#This Row],[Kvinneandel-T]])*100/Q$439</f>
        <v>100</v>
      </c>
      <c r="AB165" s="7">
        <f>(R$436-Tabell2[[#This Row],[Eldreandel-T]])*100/R$439</f>
        <v>99.90474983812301</v>
      </c>
      <c r="AC165" s="7">
        <f>100-(S$436-Tabell2[[#This Row],[Sysselsettingsvekst10-T]])*100/S$439</f>
        <v>55.282528388476891</v>
      </c>
      <c r="AD165" s="7">
        <f>100-(T$436-Tabell2[[#This Row],[Yrkesaktivandel-T]])*100/T$439</f>
        <v>5.7157622385047659</v>
      </c>
      <c r="AE165" s="7">
        <f>100-(U$436-Tabell2[[#This Row],[Inntekt-T]])*100/U$439</f>
        <v>28.653650829477485</v>
      </c>
      <c r="AF165" s="7">
        <v>18</v>
      </c>
      <c r="AG165" s="7">
        <v>5.3458135283353956</v>
      </c>
      <c r="AH165" s="7">
        <v>2.7476798114882075</v>
      </c>
      <c r="AI165" s="7">
        <v>17.365356046901329</v>
      </c>
      <c r="AJ165" s="7">
        <v>5</v>
      </c>
      <c r="AK165" s="7">
        <v>4.9952374919061509</v>
      </c>
      <c r="AL165" s="7">
        <v>5.5282528388476893</v>
      </c>
      <c r="AM165" s="7">
        <v>0.57157622385047657</v>
      </c>
      <c r="AN165" s="7">
        <v>2.8653650829477488</v>
      </c>
      <c r="AO16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62.419281024277005</v>
      </c>
    </row>
    <row r="166" spans="1:41" x14ac:dyDescent="0.3">
      <c r="A166" s="2" t="s">
        <v>163</v>
      </c>
      <c r="B166">
        <f>'Rådata-K'!N165</f>
        <v>2</v>
      </c>
      <c r="C166" s="7">
        <f>'Rådata-K'!M165</f>
        <v>169.05</v>
      </c>
      <c r="D166" s="24">
        <f>'Rådata-K'!O165</f>
        <v>31.114881240911291</v>
      </c>
      <c r="E166" s="24">
        <f>'Rådata-K'!P165</f>
        <v>29.725849773085116</v>
      </c>
      <c r="F166" s="24">
        <f>'Rådata-K'!Q165</f>
        <v>0.14196762141967612</v>
      </c>
      <c r="G166" s="24">
        <f>'Rådata-K'!R165</f>
        <v>0.13039414238978034</v>
      </c>
      <c r="H166" s="24">
        <f>'Rådata-K'!S165</f>
        <v>0.12463000467362517</v>
      </c>
      <c r="I166" s="24">
        <f>'Rådata-K'!T165</f>
        <v>0.532258064516129</v>
      </c>
      <c r="J166" s="24">
        <f>'Rådata-K'!U165</f>
        <v>0.81575433911882511</v>
      </c>
      <c r="K166" s="24">
        <f>'Rådata-K'!L165</f>
        <v>365800</v>
      </c>
      <c r="L166" s="24">
        <f>Tabell2[[#This Row],[NIBR11]]</f>
        <v>2</v>
      </c>
      <c r="M166" s="24">
        <f>IF(Tabell2[[#This Row],[ReisetidOslo]]&lt;=C$434,C$434,IF(Tabell2[[#This Row],[ReisetidOslo]]&gt;=C$435,C$435,Tabell2[[#This Row],[ReisetidOslo]]))</f>
        <v>169.05</v>
      </c>
      <c r="N166" s="24">
        <f>IF(Tabell2[[#This Row],[Beftettland]]&lt;=D$434,D$434,IF(Tabell2[[#This Row],[Beftettland]]&gt;=D$435,D$435,Tabell2[[#This Row],[Beftettland]]))</f>
        <v>31.114881240911291</v>
      </c>
      <c r="O166" s="24">
        <f>IF(Tabell2[[#This Row],[Beftettotal]]&lt;=E$434,E$434,IF(Tabell2[[#This Row],[Beftettotal]]&gt;=E$435,E$435,Tabell2[[#This Row],[Beftettotal]]))</f>
        <v>29.725849773085116</v>
      </c>
      <c r="P166" s="24">
        <f>IF(Tabell2[[#This Row],[Befvekst10]]&lt;=F$434,F$434,IF(Tabell2[[#This Row],[Befvekst10]]&gt;=F$435,F$435,Tabell2[[#This Row],[Befvekst10]]))</f>
        <v>0.14196762141967612</v>
      </c>
      <c r="Q166" s="24">
        <f>IF(Tabell2[[#This Row],[Kvinneandel]]&lt;=G$434,G$434,IF(Tabell2[[#This Row],[Kvinneandel]]&gt;=G$435,G$435,Tabell2[[#This Row],[Kvinneandel]]))</f>
        <v>0.12758728250318055</v>
      </c>
      <c r="R166" s="24">
        <f>IF(Tabell2[[#This Row],[Eldreandel]]&lt;=H$434,H$434,IF(Tabell2[[#This Row],[Eldreandel]]&gt;=H$435,H$435,Tabell2[[#This Row],[Eldreandel]]))</f>
        <v>0.12767243783057225</v>
      </c>
      <c r="S166" s="24">
        <f>IF(Tabell2[[#This Row],[Sysselsettingsvekst10]]&lt;=I$434,I$434,IF(Tabell2[[#This Row],[Sysselsettingsvekst10]]&gt;=I$435,I$435,Tabell2[[#This Row],[Sysselsettingsvekst10]]))</f>
        <v>0.21384805931725109</v>
      </c>
      <c r="T166" s="24">
        <f>IF(Tabell2[[#This Row],[Yrkesaktivandel]]&lt;=J$434,J$434,IF(Tabell2[[#This Row],[Yrkesaktivandel]]&gt;=J$435,J$435,Tabell2[[#This Row],[Yrkesaktivandel]]))</f>
        <v>0.81575433911882511</v>
      </c>
      <c r="U166" s="24">
        <f>IF(Tabell2[[#This Row],[Inntekt]]&lt;=K$434,K$434,IF(Tabell2[[#This Row],[Inntekt]]&gt;=K$435,K$435,Tabell2[[#This Row],[Inntekt]]))</f>
        <v>365800</v>
      </c>
      <c r="V166" s="7">
        <f>IF(Tabell2[[#This Row],[NIBR11-T]]&lt;=L$437,100,IF(Tabell2[[#This Row],[NIBR11-T]]&gt;=L$436,0,100*(L$436-Tabell2[[#This Row],[NIBR11-T]])/L$439))</f>
        <v>90</v>
      </c>
      <c r="W166" s="7">
        <f>(M$436-Tabell2[[#This Row],[ReisetidOslo-T]])*100/M$439</f>
        <v>48.880438756860805</v>
      </c>
      <c r="X166" s="7">
        <f>100-(N$436-Tabell2[[#This Row],[Beftettland-T]])*100/N$439</f>
        <v>21.978328299145986</v>
      </c>
      <c r="Y166" s="7">
        <f>100-(O$436-Tabell2[[#This Row],[Beftettotal-T]])*100/O$439</f>
        <v>21.744415343731447</v>
      </c>
      <c r="Z166" s="7">
        <f>100-(P$436-Tabell2[[#This Row],[Befvekst10-T]])*100/P$439</f>
        <v>86.226442796756686</v>
      </c>
      <c r="AA166" s="7">
        <f>100-(Q$436-Tabell2[[#This Row],[Kvinneandel-T]])*100/Q$439</f>
        <v>100</v>
      </c>
      <c r="AB166" s="7">
        <f>(R$436-Tabell2[[#This Row],[Eldreandel-T]])*100/R$439</f>
        <v>100</v>
      </c>
      <c r="AC166" s="7">
        <f>100-(S$436-Tabell2[[#This Row],[Sysselsettingsvekst10-T]])*100/S$439</f>
        <v>100</v>
      </c>
      <c r="AD166" s="7">
        <f>100-(T$436-Tabell2[[#This Row],[Yrkesaktivandel-T]])*100/T$439</f>
        <v>11.898358275199783</v>
      </c>
      <c r="AE166" s="7">
        <f>100-(U$436-Tabell2[[#This Row],[Inntekt-T]])*100/U$439</f>
        <v>24.139487642478272</v>
      </c>
      <c r="AF166" s="7">
        <v>18</v>
      </c>
      <c r="AG166" s="7">
        <v>4.8880438756860807</v>
      </c>
      <c r="AH166" s="7">
        <v>2.1744415343731447</v>
      </c>
      <c r="AI166" s="7">
        <v>17.245288559351337</v>
      </c>
      <c r="AJ166" s="7">
        <v>5</v>
      </c>
      <c r="AK166" s="7">
        <v>5</v>
      </c>
      <c r="AL166" s="7">
        <v>10</v>
      </c>
      <c r="AM166" s="7">
        <v>1.1898358275199783</v>
      </c>
      <c r="AN166" s="7">
        <v>2.4139487642478272</v>
      </c>
      <c r="AO16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65.911558561178367</v>
      </c>
    </row>
    <row r="167" spans="1:41" x14ac:dyDescent="0.3">
      <c r="A167" s="2" t="s">
        <v>164</v>
      </c>
      <c r="B167">
        <f>'Rådata-K'!N166</f>
        <v>2</v>
      </c>
      <c r="C167" s="7">
        <f>'Rådata-K'!M166</f>
        <v>171.1</v>
      </c>
      <c r="D167" s="24">
        <f>'Rådata-K'!O166</f>
        <v>78.145603442293009</v>
      </c>
      <c r="E167" s="24">
        <f>'Rådata-K'!P166</f>
        <v>74.441359248975274</v>
      </c>
      <c r="F167" s="24">
        <f>'Rådata-K'!Q166</f>
        <v>0.17181808720990732</v>
      </c>
      <c r="G167" s="24">
        <f>'Rådata-K'!R166</f>
        <v>0.12184724689165187</v>
      </c>
      <c r="H167" s="24">
        <f>'Rådata-K'!S166</f>
        <v>0.1285968028419183</v>
      </c>
      <c r="I167" s="24">
        <f>'Rådata-K'!T166</f>
        <v>0.11268512556342558</v>
      </c>
      <c r="J167" s="24">
        <f>'Rådata-K'!U166</f>
        <v>0.84293436293436297</v>
      </c>
      <c r="K167" s="24">
        <f>'Rådata-K'!L166</f>
        <v>409800</v>
      </c>
      <c r="L167" s="24">
        <f>Tabell2[[#This Row],[NIBR11]]</f>
        <v>2</v>
      </c>
      <c r="M167" s="24">
        <f>IF(Tabell2[[#This Row],[ReisetidOslo]]&lt;=C$434,C$434,IF(Tabell2[[#This Row],[ReisetidOslo]]&gt;=C$435,C$435,Tabell2[[#This Row],[ReisetidOslo]]))</f>
        <v>171.1</v>
      </c>
      <c r="N167" s="24">
        <f>IF(Tabell2[[#This Row],[Beftettland]]&lt;=D$434,D$434,IF(Tabell2[[#This Row],[Beftettland]]&gt;=D$435,D$435,Tabell2[[#This Row],[Beftettland]]))</f>
        <v>78.145603442293009</v>
      </c>
      <c r="O167" s="24">
        <f>IF(Tabell2[[#This Row],[Beftettotal]]&lt;=E$434,E$434,IF(Tabell2[[#This Row],[Beftettotal]]&gt;=E$435,E$435,Tabell2[[#This Row],[Beftettotal]]))</f>
        <v>74.441359248975274</v>
      </c>
      <c r="P167" s="24">
        <f>IF(Tabell2[[#This Row],[Befvekst10]]&lt;=F$434,F$434,IF(Tabell2[[#This Row],[Befvekst10]]&gt;=F$435,F$435,Tabell2[[#This Row],[Befvekst10]]))</f>
        <v>0.17181808720990732</v>
      </c>
      <c r="Q167" s="24">
        <f>IF(Tabell2[[#This Row],[Kvinneandel]]&lt;=G$434,G$434,IF(Tabell2[[#This Row],[Kvinneandel]]&gt;=G$435,G$435,Tabell2[[#This Row],[Kvinneandel]]))</f>
        <v>0.12184724689165187</v>
      </c>
      <c r="R167" s="24">
        <f>IF(Tabell2[[#This Row],[Eldreandel]]&lt;=H$434,H$434,IF(Tabell2[[#This Row],[Eldreandel]]&gt;=H$435,H$435,Tabell2[[#This Row],[Eldreandel]]))</f>
        <v>0.1285968028419183</v>
      </c>
      <c r="S167" s="24">
        <f>IF(Tabell2[[#This Row],[Sysselsettingsvekst10]]&lt;=I$434,I$434,IF(Tabell2[[#This Row],[Sysselsettingsvekst10]]&gt;=I$435,I$435,Tabell2[[#This Row],[Sysselsettingsvekst10]]))</f>
        <v>0.11268512556342558</v>
      </c>
      <c r="T167" s="24">
        <f>IF(Tabell2[[#This Row],[Yrkesaktivandel]]&lt;=J$434,J$434,IF(Tabell2[[#This Row],[Yrkesaktivandel]]&gt;=J$435,J$435,Tabell2[[#This Row],[Yrkesaktivandel]]))</f>
        <v>0.84293436293436297</v>
      </c>
      <c r="U167" s="24">
        <f>IF(Tabell2[[#This Row],[Inntekt]]&lt;=K$434,K$434,IF(Tabell2[[#This Row],[Inntekt]]&gt;=K$435,K$435,Tabell2[[#This Row],[Inntekt]]))</f>
        <v>409800</v>
      </c>
      <c r="V167" s="7">
        <f>IF(Tabell2[[#This Row],[NIBR11-T]]&lt;=L$437,100,IF(Tabell2[[#This Row],[NIBR11-T]]&gt;=L$436,0,100*(L$436-Tabell2[[#This Row],[NIBR11-T]])/L$439))</f>
        <v>90</v>
      </c>
      <c r="W167" s="7">
        <f>(M$436-Tabell2[[#This Row],[ReisetidOslo-T]])*100/M$439</f>
        <v>47.980987202930372</v>
      </c>
      <c r="X167" s="7">
        <f>100-(N$436-Tabell2[[#This Row],[Beftettland-T]])*100/N$439</f>
        <v>56.767129590573767</v>
      </c>
      <c r="Y167" s="7">
        <f>100-(O$436-Tabell2[[#This Row],[Beftettotal-T]])*100/O$439</f>
        <v>55.971390770921012</v>
      </c>
      <c r="Z167" s="7">
        <f>100-(P$436-Tabell2[[#This Row],[Befvekst10-T]])*100/P$439</f>
        <v>98.308748724632451</v>
      </c>
      <c r="AA167" s="7">
        <f>100-(Q$436-Tabell2[[#This Row],[Kvinneandel-T]])*100/Q$439</f>
        <v>84.920620670069979</v>
      </c>
      <c r="AB167" s="7">
        <f>(R$436-Tabell2[[#This Row],[Eldreandel-T]])*100/R$439</f>
        <v>99.002374593263141</v>
      </c>
      <c r="AC167" s="7">
        <f>100-(S$436-Tabell2[[#This Row],[Sysselsettingsvekst10-T]])*100/S$439</f>
        <v>66.985344972602221</v>
      </c>
      <c r="AD167" s="7">
        <f>100-(T$436-Tabell2[[#This Row],[Yrkesaktivandel-T]])*100/T$439</f>
        <v>31.068261165891428</v>
      </c>
      <c r="AE167" s="7">
        <f>100-(U$436-Tabell2[[#This Row],[Inntekt-T]])*100/U$439</f>
        <v>73.795282699469581</v>
      </c>
      <c r="AF167" s="7">
        <v>18</v>
      </c>
      <c r="AG167" s="7">
        <v>4.7980987202930372</v>
      </c>
      <c r="AH167" s="7">
        <v>5.5971390770921019</v>
      </c>
      <c r="AI167" s="7">
        <v>19.661749744926492</v>
      </c>
      <c r="AJ167" s="7">
        <v>4.246031033503499</v>
      </c>
      <c r="AK167" s="7">
        <v>4.9501187296631572</v>
      </c>
      <c r="AL167" s="7">
        <v>6.6985344972602228</v>
      </c>
      <c r="AM167" s="7">
        <v>3.1068261165891431</v>
      </c>
      <c r="AN167" s="7">
        <v>7.3795282699469587</v>
      </c>
      <c r="AO16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74.438026189274623</v>
      </c>
    </row>
    <row r="168" spans="1:41" x14ac:dyDescent="0.3">
      <c r="A168" s="2" t="s">
        <v>165</v>
      </c>
      <c r="B168">
        <f>'Rådata-K'!N167</f>
        <v>5</v>
      </c>
      <c r="C168" s="7">
        <f>'Rådata-K'!M167</f>
        <v>191.9333333333</v>
      </c>
      <c r="D168" s="24">
        <f>'Rådata-K'!O167</f>
        <v>6.0922078267578286</v>
      </c>
      <c r="E168" s="24">
        <f>'Rådata-K'!P167</f>
        <v>5.7973215867952712</v>
      </c>
      <c r="F168" s="24">
        <f>'Rådata-K'!Q167</f>
        <v>5.4813450023030841E-2</v>
      </c>
      <c r="G168" s="24">
        <f>'Rådata-K'!R167</f>
        <v>0.1131004366812227</v>
      </c>
      <c r="H168" s="24">
        <f>'Rådata-K'!S167</f>
        <v>0.13406113537117903</v>
      </c>
      <c r="I168" s="24">
        <f>'Rådata-K'!T167</f>
        <v>-5.8124174372523152E-2</v>
      </c>
      <c r="J168" s="24">
        <f>'Rådata-K'!U167</f>
        <v>0.82519083969465645</v>
      </c>
      <c r="K168" s="24">
        <f>'Rådata-K'!L167</f>
        <v>365400</v>
      </c>
      <c r="L168" s="24">
        <f>Tabell2[[#This Row],[NIBR11]]</f>
        <v>5</v>
      </c>
      <c r="M168" s="24">
        <f>IF(Tabell2[[#This Row],[ReisetidOslo]]&lt;=C$434,C$434,IF(Tabell2[[#This Row],[ReisetidOslo]]&gt;=C$435,C$435,Tabell2[[#This Row],[ReisetidOslo]]))</f>
        <v>191.9333333333</v>
      </c>
      <c r="N168" s="24">
        <f>IF(Tabell2[[#This Row],[Beftettland]]&lt;=D$434,D$434,IF(Tabell2[[#This Row],[Beftettland]]&gt;=D$435,D$435,Tabell2[[#This Row],[Beftettland]]))</f>
        <v>6.0922078267578286</v>
      </c>
      <c r="O168" s="24">
        <f>IF(Tabell2[[#This Row],[Beftettotal]]&lt;=E$434,E$434,IF(Tabell2[[#This Row],[Beftettotal]]&gt;=E$435,E$435,Tabell2[[#This Row],[Beftettotal]]))</f>
        <v>5.7973215867952712</v>
      </c>
      <c r="P168" s="24">
        <f>IF(Tabell2[[#This Row],[Befvekst10]]&lt;=F$434,F$434,IF(Tabell2[[#This Row],[Befvekst10]]&gt;=F$435,F$435,Tabell2[[#This Row],[Befvekst10]]))</f>
        <v>5.4813450023030841E-2</v>
      </c>
      <c r="Q168" s="24">
        <f>IF(Tabell2[[#This Row],[Kvinneandel]]&lt;=G$434,G$434,IF(Tabell2[[#This Row],[Kvinneandel]]&gt;=G$435,G$435,Tabell2[[#This Row],[Kvinneandel]]))</f>
        <v>0.1131004366812227</v>
      </c>
      <c r="R168" s="24">
        <f>IF(Tabell2[[#This Row],[Eldreandel]]&lt;=H$434,H$434,IF(Tabell2[[#This Row],[Eldreandel]]&gt;=H$435,H$435,Tabell2[[#This Row],[Eldreandel]]))</f>
        <v>0.13406113537117903</v>
      </c>
      <c r="S168" s="24">
        <f>IF(Tabell2[[#This Row],[Sysselsettingsvekst10]]&lt;=I$434,I$434,IF(Tabell2[[#This Row],[Sysselsettingsvekst10]]&gt;=I$435,I$435,Tabell2[[#This Row],[Sysselsettingsvekst10]]))</f>
        <v>-5.8124174372523152E-2</v>
      </c>
      <c r="T168" s="24">
        <f>IF(Tabell2[[#This Row],[Yrkesaktivandel]]&lt;=J$434,J$434,IF(Tabell2[[#This Row],[Yrkesaktivandel]]&gt;=J$435,J$435,Tabell2[[#This Row],[Yrkesaktivandel]]))</f>
        <v>0.82519083969465645</v>
      </c>
      <c r="U168" s="24">
        <f>IF(Tabell2[[#This Row],[Inntekt]]&lt;=K$434,K$434,IF(Tabell2[[#This Row],[Inntekt]]&gt;=K$435,K$435,Tabell2[[#This Row],[Inntekt]]))</f>
        <v>365400</v>
      </c>
      <c r="V168" s="7">
        <f>IF(Tabell2[[#This Row],[NIBR11-T]]&lt;=L$437,100,IF(Tabell2[[#This Row],[NIBR11-T]]&gt;=L$436,0,100*(L$436-Tabell2[[#This Row],[NIBR11-T]])/L$439))</f>
        <v>60</v>
      </c>
      <c r="W168" s="7">
        <f>(M$436-Tabell2[[#This Row],[ReisetidOslo-T]])*100/M$439</f>
        <v>38.84021937844868</v>
      </c>
      <c r="X168" s="7">
        <f>100-(N$436-Tabell2[[#This Row],[Beftettland-T]])*100/N$439</f>
        <v>3.4689630919133805</v>
      </c>
      <c r="Y168" s="7">
        <f>100-(O$436-Tabell2[[#This Row],[Beftettotal-T]])*100/O$439</f>
        <v>3.4285970551676712</v>
      </c>
      <c r="Z168" s="7">
        <f>100-(P$436-Tabell2[[#This Row],[Befvekst10-T]])*100/P$439</f>
        <v>50.949828719618978</v>
      </c>
      <c r="AA168" s="7">
        <f>100-(Q$436-Tabell2[[#This Row],[Kvinneandel-T]])*100/Q$439</f>
        <v>61.942284294411188</v>
      </c>
      <c r="AB168" s="7">
        <f>(R$436-Tabell2[[#This Row],[Eldreandel-T]])*100/R$439</f>
        <v>93.104967297295673</v>
      </c>
      <c r="AC168" s="7">
        <f>100-(S$436-Tabell2[[#This Row],[Sysselsettingsvekst10-T]])*100/S$439</f>
        <v>11.24150774285782</v>
      </c>
      <c r="AD168" s="7">
        <f>100-(T$436-Tabell2[[#This Row],[Yrkesaktivandel-T]])*100/T$439</f>
        <v>18.553863836722897</v>
      </c>
      <c r="AE168" s="7">
        <f>100-(U$436-Tabell2[[#This Row],[Inntekt-T]])*100/U$439</f>
        <v>23.68807132377836</v>
      </c>
      <c r="AF168" s="7">
        <v>12</v>
      </c>
      <c r="AG168" s="7">
        <v>3.8840219378448682</v>
      </c>
      <c r="AH168" s="7">
        <v>0.34285970551676714</v>
      </c>
      <c r="AI168" s="7">
        <v>10.189965743923796</v>
      </c>
      <c r="AJ168" s="7">
        <v>3.0971142147205595</v>
      </c>
      <c r="AK168" s="7">
        <v>4.655248364864784</v>
      </c>
      <c r="AL168" s="7">
        <v>1.1241507742857821</v>
      </c>
      <c r="AM168" s="7">
        <v>1.8553863836722897</v>
      </c>
      <c r="AN168" s="7">
        <v>2.3688071323778361</v>
      </c>
      <c r="AO16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39.517554257206683</v>
      </c>
    </row>
    <row r="169" spans="1:41" x14ac:dyDescent="0.3">
      <c r="A169" s="2" t="s">
        <v>166</v>
      </c>
      <c r="B169">
        <f>'Rådata-K'!N168</f>
        <v>5</v>
      </c>
      <c r="C169" s="7">
        <f>'Rådata-K'!M168</f>
        <v>217.26666666670002</v>
      </c>
      <c r="D169" s="24">
        <f>'Rådata-K'!O168</f>
        <v>1.1808654665797522</v>
      </c>
      <c r="E169" s="24">
        <f>'Rådata-K'!P168</f>
        <v>1.0613845321795565</v>
      </c>
      <c r="F169" s="24">
        <f>'Rådata-K'!Q168</f>
        <v>5.3691275167785157E-2</v>
      </c>
      <c r="G169" s="24">
        <f>'Rådata-K'!R168</f>
        <v>0.1040339702760085</v>
      </c>
      <c r="H169" s="24">
        <f>'Rådata-K'!S168</f>
        <v>0.14225053078556263</v>
      </c>
      <c r="I169" s="24">
        <f>'Rådata-K'!T168</f>
        <v>0.40176600441501109</v>
      </c>
      <c r="J169" s="24">
        <f>'Rådata-K'!U168</f>
        <v>0.89583333333333337</v>
      </c>
      <c r="K169" s="24">
        <f>'Rådata-K'!L168</f>
        <v>374100</v>
      </c>
      <c r="L169" s="24">
        <f>Tabell2[[#This Row],[NIBR11]]</f>
        <v>5</v>
      </c>
      <c r="M169" s="24">
        <f>IF(Tabell2[[#This Row],[ReisetidOslo]]&lt;=C$434,C$434,IF(Tabell2[[#This Row],[ReisetidOslo]]&gt;=C$435,C$435,Tabell2[[#This Row],[ReisetidOslo]]))</f>
        <v>217.26666666670002</v>
      </c>
      <c r="N169" s="24">
        <f>IF(Tabell2[[#This Row],[Beftettland]]&lt;=D$434,D$434,IF(Tabell2[[#This Row],[Beftettland]]&gt;=D$435,D$435,Tabell2[[#This Row],[Beftettland]]))</f>
        <v>1.4025423756281519</v>
      </c>
      <c r="O169" s="24">
        <f>IF(Tabell2[[#This Row],[Beftettotal]]&lt;=E$434,E$434,IF(Tabell2[[#This Row],[Beftettotal]]&gt;=E$435,E$435,Tabell2[[#This Row],[Beftettotal]]))</f>
        <v>1.3180632767674032</v>
      </c>
      <c r="P169" s="24">
        <f>IF(Tabell2[[#This Row],[Befvekst10]]&lt;=F$434,F$434,IF(Tabell2[[#This Row],[Befvekst10]]&gt;=F$435,F$435,Tabell2[[#This Row],[Befvekst10]]))</f>
        <v>5.3691275167785157E-2</v>
      </c>
      <c r="Q169" s="24">
        <f>IF(Tabell2[[#This Row],[Kvinneandel]]&lt;=G$434,G$434,IF(Tabell2[[#This Row],[Kvinneandel]]&gt;=G$435,G$435,Tabell2[[#This Row],[Kvinneandel]]))</f>
        <v>0.1040339702760085</v>
      </c>
      <c r="R169" s="24">
        <f>IF(Tabell2[[#This Row],[Eldreandel]]&lt;=H$434,H$434,IF(Tabell2[[#This Row],[Eldreandel]]&gt;=H$435,H$435,Tabell2[[#This Row],[Eldreandel]]))</f>
        <v>0.14225053078556263</v>
      </c>
      <c r="S169" s="24">
        <f>IF(Tabell2[[#This Row],[Sysselsettingsvekst10]]&lt;=I$434,I$434,IF(Tabell2[[#This Row],[Sysselsettingsvekst10]]&gt;=I$435,I$435,Tabell2[[#This Row],[Sysselsettingsvekst10]]))</f>
        <v>0.21384805931725109</v>
      </c>
      <c r="T169" s="24">
        <f>IF(Tabell2[[#This Row],[Yrkesaktivandel]]&lt;=J$434,J$434,IF(Tabell2[[#This Row],[Yrkesaktivandel]]&gt;=J$435,J$435,Tabell2[[#This Row],[Yrkesaktivandel]]))</f>
        <v>0.89583333333333337</v>
      </c>
      <c r="U169" s="24">
        <f>IF(Tabell2[[#This Row],[Inntekt]]&lt;=K$434,K$434,IF(Tabell2[[#This Row],[Inntekt]]&gt;=K$435,K$435,Tabell2[[#This Row],[Inntekt]]))</f>
        <v>374100</v>
      </c>
      <c r="V169" s="7">
        <f>IF(Tabell2[[#This Row],[NIBR11-T]]&lt;=L$437,100,IF(Tabell2[[#This Row],[NIBR11-T]]&gt;=L$436,0,100*(L$436-Tabell2[[#This Row],[NIBR11-T]])/L$439))</f>
        <v>60</v>
      </c>
      <c r="W169" s="7">
        <f>(M$436-Tabell2[[#This Row],[ReisetidOslo-T]])*100/M$439</f>
        <v>27.725045703831892</v>
      </c>
      <c r="X169" s="7">
        <f>100-(N$436-Tabell2[[#This Row],[Beftettland-T]])*100/N$439</f>
        <v>0</v>
      </c>
      <c r="Y169" s="7">
        <f>100-(O$436-Tabell2[[#This Row],[Beftettotal-T]])*100/O$439</f>
        <v>0</v>
      </c>
      <c r="Z169" s="7">
        <f>100-(P$436-Tabell2[[#This Row],[Befvekst10-T]])*100/P$439</f>
        <v>50.495616044985091</v>
      </c>
      <c r="AA169" s="7">
        <f>100-(Q$436-Tabell2[[#This Row],[Kvinneandel-T]])*100/Q$439</f>
        <v>38.124194066590853</v>
      </c>
      <c r="AB169" s="7">
        <f>(R$436-Tabell2[[#This Row],[Eldreandel-T]])*100/R$439</f>
        <v>84.266522710014613</v>
      </c>
      <c r="AC169" s="7">
        <f>100-(S$436-Tabell2[[#This Row],[Sysselsettingsvekst10-T]])*100/S$439</f>
        <v>100</v>
      </c>
      <c r="AD169" s="7">
        <f>100-(T$436-Tabell2[[#This Row],[Yrkesaktivandel-T]])*100/T$439</f>
        <v>68.377578201372714</v>
      </c>
      <c r="AE169" s="7">
        <f>100-(U$436-Tabell2[[#This Row],[Inntekt-T]])*100/U$439</f>
        <v>33.506376255501635</v>
      </c>
      <c r="AF169" s="7">
        <v>12</v>
      </c>
      <c r="AG169" s="7">
        <v>2.7725045703831892</v>
      </c>
      <c r="AH169" s="7">
        <v>0</v>
      </c>
      <c r="AI169" s="7">
        <v>10.099123208997019</v>
      </c>
      <c r="AJ169" s="7">
        <v>1.9062097033295426</v>
      </c>
      <c r="AK169" s="7">
        <v>4.213326135500731</v>
      </c>
      <c r="AL169" s="7">
        <v>10</v>
      </c>
      <c r="AM169" s="7">
        <v>6.8377578201372717</v>
      </c>
      <c r="AN169" s="7">
        <v>3.3506376255501635</v>
      </c>
      <c r="AO16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51.179559063897912</v>
      </c>
    </row>
    <row r="170" spans="1:41" x14ac:dyDescent="0.3">
      <c r="A170" s="2" t="s">
        <v>167</v>
      </c>
      <c r="B170">
        <f>'Rådata-K'!N169</f>
        <v>5</v>
      </c>
      <c r="C170" s="7">
        <f>'Rådata-K'!M169</f>
        <v>200.55</v>
      </c>
      <c r="D170" s="24">
        <f>'Rådata-K'!O169</f>
        <v>7.4139976275207591</v>
      </c>
      <c r="E170" s="24">
        <f>'Rådata-K'!P169</f>
        <v>6.9596341220918676</v>
      </c>
      <c r="F170" s="24">
        <f>'Rådata-K'!Q169</f>
        <v>0.12467866323907462</v>
      </c>
      <c r="G170" s="24">
        <f>'Rådata-K'!R169</f>
        <v>0.11485714285714285</v>
      </c>
      <c r="H170" s="24">
        <f>'Rådata-K'!S169</f>
        <v>0.1462857142857143</v>
      </c>
      <c r="I170" s="24">
        <f>'Rådata-K'!T169</f>
        <v>2.7067669172932352E-2</v>
      </c>
      <c r="J170" s="24">
        <f>'Rådata-K'!U169</f>
        <v>0.92421052631578948</v>
      </c>
      <c r="K170" s="24">
        <f>'Rådata-K'!L169</f>
        <v>376300</v>
      </c>
      <c r="L170" s="24">
        <f>Tabell2[[#This Row],[NIBR11]]</f>
        <v>5</v>
      </c>
      <c r="M170" s="24">
        <f>IF(Tabell2[[#This Row],[ReisetidOslo]]&lt;=C$434,C$434,IF(Tabell2[[#This Row],[ReisetidOslo]]&gt;=C$435,C$435,Tabell2[[#This Row],[ReisetidOslo]]))</f>
        <v>200.55</v>
      </c>
      <c r="N170" s="24">
        <f>IF(Tabell2[[#This Row],[Beftettland]]&lt;=D$434,D$434,IF(Tabell2[[#This Row],[Beftettland]]&gt;=D$435,D$435,Tabell2[[#This Row],[Beftettland]]))</f>
        <v>7.4139976275207591</v>
      </c>
      <c r="O170" s="24">
        <f>IF(Tabell2[[#This Row],[Beftettotal]]&lt;=E$434,E$434,IF(Tabell2[[#This Row],[Beftettotal]]&gt;=E$435,E$435,Tabell2[[#This Row],[Beftettotal]]))</f>
        <v>6.9596341220918676</v>
      </c>
      <c r="P170" s="24">
        <f>IF(Tabell2[[#This Row],[Befvekst10]]&lt;=F$434,F$434,IF(Tabell2[[#This Row],[Befvekst10]]&gt;=F$435,F$435,Tabell2[[#This Row],[Befvekst10]]))</f>
        <v>0.12467866323907462</v>
      </c>
      <c r="Q170" s="24">
        <f>IF(Tabell2[[#This Row],[Kvinneandel]]&lt;=G$434,G$434,IF(Tabell2[[#This Row],[Kvinneandel]]&gt;=G$435,G$435,Tabell2[[#This Row],[Kvinneandel]]))</f>
        <v>0.11485714285714285</v>
      </c>
      <c r="R170" s="24">
        <f>IF(Tabell2[[#This Row],[Eldreandel]]&lt;=H$434,H$434,IF(Tabell2[[#This Row],[Eldreandel]]&gt;=H$435,H$435,Tabell2[[#This Row],[Eldreandel]]))</f>
        <v>0.1462857142857143</v>
      </c>
      <c r="S170" s="24">
        <f>IF(Tabell2[[#This Row],[Sysselsettingsvekst10]]&lt;=I$434,I$434,IF(Tabell2[[#This Row],[Sysselsettingsvekst10]]&gt;=I$435,I$435,Tabell2[[#This Row],[Sysselsettingsvekst10]]))</f>
        <v>2.7067669172932352E-2</v>
      </c>
      <c r="T170" s="24">
        <f>IF(Tabell2[[#This Row],[Yrkesaktivandel]]&lt;=J$434,J$434,IF(Tabell2[[#This Row],[Yrkesaktivandel]]&gt;=J$435,J$435,Tabell2[[#This Row],[Yrkesaktivandel]]))</f>
        <v>0.92421052631578948</v>
      </c>
      <c r="U170" s="24">
        <f>IF(Tabell2[[#This Row],[Inntekt]]&lt;=K$434,K$434,IF(Tabell2[[#This Row],[Inntekt]]&gt;=K$435,K$435,Tabell2[[#This Row],[Inntekt]]))</f>
        <v>376300</v>
      </c>
      <c r="V170" s="7">
        <f>IF(Tabell2[[#This Row],[NIBR11-T]]&lt;=L$437,100,IF(Tabell2[[#This Row],[NIBR11-T]]&gt;=L$436,0,100*(L$436-Tabell2[[#This Row],[NIBR11-T]])/L$439))</f>
        <v>60</v>
      </c>
      <c r="W170" s="7">
        <f>(M$436-Tabell2[[#This Row],[ReisetidOslo-T]])*100/M$439</f>
        <v>35.059597806222364</v>
      </c>
      <c r="X170" s="7">
        <f>100-(N$436-Tabell2[[#This Row],[Beftettland-T]])*100/N$439</f>
        <v>4.4466959562074919</v>
      </c>
      <c r="Y170" s="7">
        <f>100-(O$436-Tabell2[[#This Row],[Beftettotal-T]])*100/O$439</f>
        <v>4.3182758948051969</v>
      </c>
      <c r="Z170" s="7">
        <f>100-(P$436-Tabell2[[#This Row],[Befvekst10-T]])*100/P$439</f>
        <v>79.228545900265416</v>
      </c>
      <c r="AA170" s="7">
        <f>100-(Q$436-Tabell2[[#This Row],[Kvinneandel-T]])*100/Q$439</f>
        <v>66.557245000356346</v>
      </c>
      <c r="AB170" s="7">
        <f>(R$436-Tabell2[[#This Row],[Eldreandel-T]])*100/R$439</f>
        <v>79.911531412004905</v>
      </c>
      <c r="AC170" s="7">
        <f>100-(S$436-Tabell2[[#This Row],[Sysselsettingsvekst10-T]])*100/S$439</f>
        <v>39.043976704913788</v>
      </c>
      <c r="AD170" s="7">
        <f>100-(T$436-Tabell2[[#This Row],[Yrkesaktivandel-T]])*100/T$439</f>
        <v>88.391837109899541</v>
      </c>
      <c r="AE170" s="7">
        <f>100-(U$436-Tabell2[[#This Row],[Inntekt-T]])*100/U$439</f>
        <v>35.989166008351205</v>
      </c>
      <c r="AF170" s="7">
        <v>12</v>
      </c>
      <c r="AG170" s="7">
        <v>3.5059597806222365</v>
      </c>
      <c r="AH170" s="7">
        <v>0.43182758948051969</v>
      </c>
      <c r="AI170" s="7">
        <v>15.845709180053085</v>
      </c>
      <c r="AJ170" s="7">
        <v>3.3278622500178177</v>
      </c>
      <c r="AK170" s="7">
        <v>3.9955765706002455</v>
      </c>
      <c r="AL170" s="7">
        <v>3.9043976704913792</v>
      </c>
      <c r="AM170" s="7">
        <v>8.8391837109899551</v>
      </c>
      <c r="AN170" s="7">
        <v>3.5989166008351208</v>
      </c>
      <c r="AO17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55.449433353090349</v>
      </c>
    </row>
    <row r="171" spans="1:41" x14ac:dyDescent="0.3">
      <c r="A171" s="2" t="s">
        <v>168</v>
      </c>
      <c r="B171">
        <f>'Rådata-K'!N170</f>
        <v>5</v>
      </c>
      <c r="C171" s="7">
        <f>'Rådata-K'!M170</f>
        <v>200.8166666667</v>
      </c>
      <c r="D171" s="24">
        <f>'Rådata-K'!O170</f>
        <v>16.622948614474037</v>
      </c>
      <c r="E171" s="24">
        <f>'Rådata-K'!P170</f>
        <v>15.641910066137148</v>
      </c>
      <c r="F171" s="24">
        <f>'Rådata-K'!Q170</f>
        <v>0.10187249219794925</v>
      </c>
      <c r="G171" s="24">
        <f>'Rådata-K'!R170</f>
        <v>0.11713534290916447</v>
      </c>
      <c r="H171" s="24">
        <f>'Rådata-K'!S170</f>
        <v>0.15941735787983005</v>
      </c>
      <c r="I171" s="24">
        <f>'Rådata-K'!T170</f>
        <v>4.0353786622443266E-2</v>
      </c>
      <c r="J171" s="24">
        <f>'Rådata-K'!U170</f>
        <v>0.84129316678912569</v>
      </c>
      <c r="K171" s="24">
        <f>'Rådata-K'!L170</f>
        <v>374400</v>
      </c>
      <c r="L171" s="24">
        <f>Tabell2[[#This Row],[NIBR11]]</f>
        <v>5</v>
      </c>
      <c r="M171" s="24">
        <f>IF(Tabell2[[#This Row],[ReisetidOslo]]&lt;=C$434,C$434,IF(Tabell2[[#This Row],[ReisetidOslo]]&gt;=C$435,C$435,Tabell2[[#This Row],[ReisetidOslo]]))</f>
        <v>200.8166666667</v>
      </c>
      <c r="N171" s="24">
        <f>IF(Tabell2[[#This Row],[Beftettland]]&lt;=D$434,D$434,IF(Tabell2[[#This Row],[Beftettland]]&gt;=D$435,D$435,Tabell2[[#This Row],[Beftettland]]))</f>
        <v>16.622948614474037</v>
      </c>
      <c r="O171" s="24">
        <f>IF(Tabell2[[#This Row],[Beftettotal]]&lt;=E$434,E$434,IF(Tabell2[[#This Row],[Beftettotal]]&gt;=E$435,E$435,Tabell2[[#This Row],[Beftettotal]]))</f>
        <v>15.641910066137148</v>
      </c>
      <c r="P171" s="24">
        <f>IF(Tabell2[[#This Row],[Befvekst10]]&lt;=F$434,F$434,IF(Tabell2[[#This Row],[Befvekst10]]&gt;=F$435,F$435,Tabell2[[#This Row],[Befvekst10]]))</f>
        <v>0.10187249219794925</v>
      </c>
      <c r="Q171" s="24">
        <f>IF(Tabell2[[#This Row],[Kvinneandel]]&lt;=G$434,G$434,IF(Tabell2[[#This Row],[Kvinneandel]]&gt;=G$435,G$435,Tabell2[[#This Row],[Kvinneandel]]))</f>
        <v>0.11713534290916447</v>
      </c>
      <c r="R171" s="24">
        <f>IF(Tabell2[[#This Row],[Eldreandel]]&lt;=H$434,H$434,IF(Tabell2[[#This Row],[Eldreandel]]&gt;=H$435,H$435,Tabell2[[#This Row],[Eldreandel]]))</f>
        <v>0.15941735787983005</v>
      </c>
      <c r="S171" s="24">
        <f>IF(Tabell2[[#This Row],[Sysselsettingsvekst10]]&lt;=I$434,I$434,IF(Tabell2[[#This Row],[Sysselsettingsvekst10]]&gt;=I$435,I$435,Tabell2[[#This Row],[Sysselsettingsvekst10]]))</f>
        <v>4.0353786622443266E-2</v>
      </c>
      <c r="T171" s="24">
        <f>IF(Tabell2[[#This Row],[Yrkesaktivandel]]&lt;=J$434,J$434,IF(Tabell2[[#This Row],[Yrkesaktivandel]]&gt;=J$435,J$435,Tabell2[[#This Row],[Yrkesaktivandel]]))</f>
        <v>0.84129316678912569</v>
      </c>
      <c r="U171" s="24">
        <f>IF(Tabell2[[#This Row],[Inntekt]]&lt;=K$434,K$434,IF(Tabell2[[#This Row],[Inntekt]]&gt;=K$435,K$435,Tabell2[[#This Row],[Inntekt]]))</f>
        <v>374400</v>
      </c>
      <c r="V171" s="7">
        <f>IF(Tabell2[[#This Row],[NIBR11-T]]&lt;=L$437,100,IF(Tabell2[[#This Row],[NIBR11-T]]&gt;=L$436,0,100*(L$436-Tabell2[[#This Row],[NIBR11-T]])/L$439))</f>
        <v>60</v>
      </c>
      <c r="W171" s="7">
        <f>(M$436-Tabell2[[#This Row],[ReisetidOslo-T]])*100/M$439</f>
        <v>34.942595978054193</v>
      </c>
      <c r="X171" s="7">
        <f>100-(N$436-Tabell2[[#This Row],[Beftettland-T]])*100/N$439</f>
        <v>11.258591478794273</v>
      </c>
      <c r="Y171" s="7">
        <f>100-(O$436-Tabell2[[#This Row],[Beftettotal-T]])*100/O$439</f>
        <v>10.96402473837243</v>
      </c>
      <c r="Z171" s="7">
        <f>100-(P$436-Tabell2[[#This Row],[Befvekst10-T]])*100/P$439</f>
        <v>69.997496123731821</v>
      </c>
      <c r="AA171" s="7">
        <f>100-(Q$436-Tabell2[[#This Row],[Kvinneandel-T]])*100/Q$439</f>
        <v>72.542197899411818</v>
      </c>
      <c r="AB171" s="7">
        <f>(R$436-Tabell2[[#This Row],[Eldreandel-T]])*100/R$439</f>
        <v>65.739141586662441</v>
      </c>
      <c r="AC171" s="7">
        <f>100-(S$436-Tabell2[[#This Row],[Sysselsettingsvekst10-T]])*100/S$439</f>
        <v>43.379918417680756</v>
      </c>
      <c r="AD171" s="7">
        <f>100-(T$436-Tabell2[[#This Row],[Yrkesaktivandel-T]])*100/T$439</f>
        <v>29.910735663254059</v>
      </c>
      <c r="AE171" s="7">
        <f>100-(U$436-Tabell2[[#This Row],[Inntekt-T]])*100/U$439</f>
        <v>33.844938494526573</v>
      </c>
      <c r="AF171" s="7">
        <v>12</v>
      </c>
      <c r="AG171" s="7">
        <v>3.4942595978054194</v>
      </c>
      <c r="AH171" s="7">
        <v>1.0964024738372431</v>
      </c>
      <c r="AI171" s="7">
        <v>13.999499224746366</v>
      </c>
      <c r="AJ171" s="7">
        <v>3.6271098949705909</v>
      </c>
      <c r="AK171" s="7">
        <v>3.2869570793331224</v>
      </c>
      <c r="AL171" s="7">
        <v>4.3379918417680754</v>
      </c>
      <c r="AM171" s="7">
        <v>2.9910735663254062</v>
      </c>
      <c r="AN171" s="7">
        <v>3.3844938494526575</v>
      </c>
      <c r="AO17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48.217787528238873</v>
      </c>
    </row>
    <row r="172" spans="1:41" x14ac:dyDescent="0.3">
      <c r="A172" s="2" t="s">
        <v>169</v>
      </c>
      <c r="B172">
        <f>'Rådata-K'!N171</f>
        <v>5</v>
      </c>
      <c r="C172" s="7">
        <f>'Rådata-K'!M171</f>
        <v>217.61666666669998</v>
      </c>
      <c r="D172" s="24">
        <f>'Rådata-K'!O171</f>
        <v>22.958659821669819</v>
      </c>
      <c r="E172" s="24">
        <f>'Rådata-K'!P171</f>
        <v>21.724234909109505</v>
      </c>
      <c r="F172" s="24">
        <f>'Rådata-K'!Q171</f>
        <v>0.1646107456140351</v>
      </c>
      <c r="G172" s="24">
        <f>'Rådata-K'!R171</f>
        <v>0.11957161351065082</v>
      </c>
      <c r="H172" s="24">
        <f>'Rådata-K'!S171</f>
        <v>0.13181122749205601</v>
      </c>
      <c r="I172" s="24">
        <f>'Rådata-K'!T171</f>
        <v>9.5332953898690898E-2</v>
      </c>
      <c r="J172" s="24">
        <f>'Rådata-K'!U171</f>
        <v>0.85163078234917933</v>
      </c>
      <c r="K172" s="24">
        <f>'Rådata-K'!L171</f>
        <v>378000</v>
      </c>
      <c r="L172" s="24">
        <f>Tabell2[[#This Row],[NIBR11]]</f>
        <v>5</v>
      </c>
      <c r="M172" s="24">
        <f>IF(Tabell2[[#This Row],[ReisetidOslo]]&lt;=C$434,C$434,IF(Tabell2[[#This Row],[ReisetidOslo]]&gt;=C$435,C$435,Tabell2[[#This Row],[ReisetidOslo]]))</f>
        <v>217.61666666669998</v>
      </c>
      <c r="N172" s="24">
        <f>IF(Tabell2[[#This Row],[Beftettland]]&lt;=D$434,D$434,IF(Tabell2[[#This Row],[Beftettland]]&gt;=D$435,D$435,Tabell2[[#This Row],[Beftettland]]))</f>
        <v>22.958659821669819</v>
      </c>
      <c r="O172" s="24">
        <f>IF(Tabell2[[#This Row],[Beftettotal]]&lt;=E$434,E$434,IF(Tabell2[[#This Row],[Beftettotal]]&gt;=E$435,E$435,Tabell2[[#This Row],[Beftettotal]]))</f>
        <v>21.724234909109505</v>
      </c>
      <c r="P172" s="24">
        <f>IF(Tabell2[[#This Row],[Befvekst10]]&lt;=F$434,F$434,IF(Tabell2[[#This Row],[Befvekst10]]&gt;=F$435,F$435,Tabell2[[#This Row],[Befvekst10]]))</f>
        <v>0.1646107456140351</v>
      </c>
      <c r="Q172" s="24">
        <f>IF(Tabell2[[#This Row],[Kvinneandel]]&lt;=G$434,G$434,IF(Tabell2[[#This Row],[Kvinneandel]]&gt;=G$435,G$435,Tabell2[[#This Row],[Kvinneandel]]))</f>
        <v>0.11957161351065082</v>
      </c>
      <c r="R172" s="24">
        <f>IF(Tabell2[[#This Row],[Eldreandel]]&lt;=H$434,H$434,IF(Tabell2[[#This Row],[Eldreandel]]&gt;=H$435,H$435,Tabell2[[#This Row],[Eldreandel]]))</f>
        <v>0.13181122749205601</v>
      </c>
      <c r="S172" s="24">
        <f>IF(Tabell2[[#This Row],[Sysselsettingsvekst10]]&lt;=I$434,I$434,IF(Tabell2[[#This Row],[Sysselsettingsvekst10]]&gt;=I$435,I$435,Tabell2[[#This Row],[Sysselsettingsvekst10]]))</f>
        <v>9.5332953898690898E-2</v>
      </c>
      <c r="T172" s="24">
        <f>IF(Tabell2[[#This Row],[Yrkesaktivandel]]&lt;=J$434,J$434,IF(Tabell2[[#This Row],[Yrkesaktivandel]]&gt;=J$435,J$435,Tabell2[[#This Row],[Yrkesaktivandel]]))</f>
        <v>0.85163078234917933</v>
      </c>
      <c r="U172" s="24">
        <f>IF(Tabell2[[#This Row],[Inntekt]]&lt;=K$434,K$434,IF(Tabell2[[#This Row],[Inntekt]]&gt;=K$435,K$435,Tabell2[[#This Row],[Inntekt]]))</f>
        <v>378000</v>
      </c>
      <c r="V172" s="7">
        <f>IF(Tabell2[[#This Row],[NIBR11-T]]&lt;=L$437,100,IF(Tabell2[[#This Row],[NIBR11-T]]&gt;=L$436,0,100*(L$436-Tabell2[[#This Row],[NIBR11-T]])/L$439))</f>
        <v>60</v>
      </c>
      <c r="W172" s="7">
        <f>(M$436-Tabell2[[#This Row],[ReisetidOslo-T]])*100/M$439</f>
        <v>27.571480804380371</v>
      </c>
      <c r="X172" s="7">
        <f>100-(N$436-Tabell2[[#This Row],[Beftettland-T]])*100/N$439</f>
        <v>15.945140779126532</v>
      </c>
      <c r="Y172" s="7">
        <f>100-(O$436-Tabell2[[#This Row],[Beftettotal-T]])*100/O$439</f>
        <v>15.619670740859476</v>
      </c>
      <c r="Z172" s="7">
        <f>100-(P$436-Tabell2[[#This Row],[Befvekst10-T]])*100/P$439</f>
        <v>95.391497560111915</v>
      </c>
      <c r="AA172" s="7">
        <f>100-(Q$436-Tabell2[[#This Row],[Kvinneandel-T]])*100/Q$439</f>
        <v>78.942410552515128</v>
      </c>
      <c r="AB172" s="7">
        <f>(R$436-Tabell2[[#This Row],[Eldreandel-T]])*100/R$439</f>
        <v>95.533191251555991</v>
      </c>
      <c r="AC172" s="7">
        <f>100-(S$436-Tabell2[[#This Row],[Sysselsettingsvekst10-T]])*100/S$439</f>
        <v>61.322441177409168</v>
      </c>
      <c r="AD172" s="7">
        <f>100-(T$436-Tabell2[[#This Row],[Yrkesaktivandel-T]])*100/T$439</f>
        <v>37.20179205645131</v>
      </c>
      <c r="AE172" s="7">
        <f>100-(U$436-Tabell2[[#This Row],[Inntekt-T]])*100/U$439</f>
        <v>37.907685362825866</v>
      </c>
      <c r="AF172" s="7">
        <v>12</v>
      </c>
      <c r="AG172" s="7">
        <v>2.7571480804380375</v>
      </c>
      <c r="AH172" s="7">
        <v>1.5619670740859477</v>
      </c>
      <c r="AI172" s="7">
        <v>19.078299512022383</v>
      </c>
      <c r="AJ172" s="7">
        <v>3.9471205276257564</v>
      </c>
      <c r="AK172" s="7">
        <v>4.7766595625777999</v>
      </c>
      <c r="AL172" s="7">
        <v>6.1322441177409175</v>
      </c>
      <c r="AM172" s="7">
        <v>3.720179205645131</v>
      </c>
      <c r="AN172" s="7">
        <v>3.7907685362825867</v>
      </c>
      <c r="AO17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57.764386616418555</v>
      </c>
    </row>
    <row r="173" spans="1:41" x14ac:dyDescent="0.3">
      <c r="A173" s="2" t="s">
        <v>170</v>
      </c>
      <c r="B173">
        <f>'Rådata-K'!N172</f>
        <v>5</v>
      </c>
      <c r="C173" s="7">
        <f>'Rådata-K'!M172</f>
        <v>212.61666666669998</v>
      </c>
      <c r="D173" s="24">
        <f>'Rådata-K'!O172</f>
        <v>4.0116909442323108</v>
      </c>
      <c r="E173" s="24">
        <f>'Rådata-K'!P172</f>
        <v>3.689333015411961</v>
      </c>
      <c r="F173" s="24">
        <f>'Rådata-K'!Q172</f>
        <v>7.5173720783322739E-2</v>
      </c>
      <c r="G173" s="24">
        <f>'Rådata-K'!R172</f>
        <v>0.11339600470035252</v>
      </c>
      <c r="H173" s="24">
        <f>'Rådata-K'!S172</f>
        <v>0.15217391304347827</v>
      </c>
      <c r="I173" s="24">
        <f>'Rådata-K'!T172</f>
        <v>0.11501597444089451</v>
      </c>
      <c r="J173" s="24">
        <f>'Rådata-K'!U172</f>
        <v>0.94947368421052636</v>
      </c>
      <c r="K173" s="24">
        <f>'Rådata-K'!L172</f>
        <v>395100</v>
      </c>
      <c r="L173" s="24">
        <f>Tabell2[[#This Row],[NIBR11]]</f>
        <v>5</v>
      </c>
      <c r="M173" s="24">
        <f>IF(Tabell2[[#This Row],[ReisetidOslo]]&lt;=C$434,C$434,IF(Tabell2[[#This Row],[ReisetidOslo]]&gt;=C$435,C$435,Tabell2[[#This Row],[ReisetidOslo]]))</f>
        <v>212.61666666669998</v>
      </c>
      <c r="N173" s="24">
        <f>IF(Tabell2[[#This Row],[Beftettland]]&lt;=D$434,D$434,IF(Tabell2[[#This Row],[Beftettland]]&gt;=D$435,D$435,Tabell2[[#This Row],[Beftettland]]))</f>
        <v>4.0116909442323108</v>
      </c>
      <c r="O173" s="24">
        <f>IF(Tabell2[[#This Row],[Beftettotal]]&lt;=E$434,E$434,IF(Tabell2[[#This Row],[Beftettotal]]&gt;=E$435,E$435,Tabell2[[#This Row],[Beftettotal]]))</f>
        <v>3.689333015411961</v>
      </c>
      <c r="P173" s="24">
        <f>IF(Tabell2[[#This Row],[Befvekst10]]&lt;=F$434,F$434,IF(Tabell2[[#This Row],[Befvekst10]]&gt;=F$435,F$435,Tabell2[[#This Row],[Befvekst10]]))</f>
        <v>7.5173720783322739E-2</v>
      </c>
      <c r="Q173" s="24">
        <f>IF(Tabell2[[#This Row],[Kvinneandel]]&lt;=G$434,G$434,IF(Tabell2[[#This Row],[Kvinneandel]]&gt;=G$435,G$435,Tabell2[[#This Row],[Kvinneandel]]))</f>
        <v>0.11339600470035252</v>
      </c>
      <c r="R173" s="24">
        <f>IF(Tabell2[[#This Row],[Eldreandel]]&lt;=H$434,H$434,IF(Tabell2[[#This Row],[Eldreandel]]&gt;=H$435,H$435,Tabell2[[#This Row],[Eldreandel]]))</f>
        <v>0.15217391304347827</v>
      </c>
      <c r="S173" s="24">
        <f>IF(Tabell2[[#This Row],[Sysselsettingsvekst10]]&lt;=I$434,I$434,IF(Tabell2[[#This Row],[Sysselsettingsvekst10]]&gt;=I$435,I$435,Tabell2[[#This Row],[Sysselsettingsvekst10]]))</f>
        <v>0.11501597444089451</v>
      </c>
      <c r="T173" s="24">
        <f>IF(Tabell2[[#This Row],[Yrkesaktivandel]]&lt;=J$434,J$434,IF(Tabell2[[#This Row],[Yrkesaktivandel]]&gt;=J$435,J$435,Tabell2[[#This Row],[Yrkesaktivandel]]))</f>
        <v>0.94066914614326791</v>
      </c>
      <c r="U173" s="24">
        <f>IF(Tabell2[[#This Row],[Inntekt]]&lt;=K$434,K$434,IF(Tabell2[[#This Row],[Inntekt]]&gt;=K$435,K$435,Tabell2[[#This Row],[Inntekt]]))</f>
        <v>395100</v>
      </c>
      <c r="V173" s="7">
        <f>IF(Tabell2[[#This Row],[NIBR11-T]]&lt;=L$437,100,IF(Tabell2[[#This Row],[NIBR11-T]]&gt;=L$436,0,100*(L$436-Tabell2[[#This Row],[NIBR11-T]])/L$439))</f>
        <v>60</v>
      </c>
      <c r="W173" s="7">
        <f>(M$436-Tabell2[[#This Row],[ReisetidOslo-T]])*100/M$439</f>
        <v>29.765265082259486</v>
      </c>
      <c r="X173" s="7">
        <f>100-(N$436-Tabell2[[#This Row],[Beftettland-T]])*100/N$439</f>
        <v>1.9299969646291402</v>
      </c>
      <c r="Y173" s="7">
        <f>100-(O$436-Tabell2[[#This Row],[Beftettotal-T]])*100/O$439</f>
        <v>1.8150613070748278</v>
      </c>
      <c r="Z173" s="7">
        <f>100-(P$436-Tabell2[[#This Row],[Befvekst10-T]])*100/P$439</f>
        <v>59.190873326056419</v>
      </c>
      <c r="AA173" s="7">
        <f>100-(Q$436-Tabell2[[#This Row],[Kvinneandel-T]])*100/Q$439</f>
        <v>62.718757225921024</v>
      </c>
      <c r="AB173" s="7">
        <f>(R$436-Tabell2[[#This Row],[Eldreandel-T]])*100/R$439</f>
        <v>73.556664440019617</v>
      </c>
      <c r="AC173" s="7">
        <f>100-(S$436-Tabell2[[#This Row],[Sysselsettingsvekst10-T]])*100/S$439</f>
        <v>67.746020535826716</v>
      </c>
      <c r="AD173" s="7">
        <f>100-(T$436-Tabell2[[#This Row],[Yrkesaktivandel-T]])*100/T$439</f>
        <v>100</v>
      </c>
      <c r="AE173" s="7">
        <f>100-(U$436-Tabell2[[#This Row],[Inntekt-T]])*100/U$439</f>
        <v>57.205732987247487</v>
      </c>
      <c r="AF173" s="7">
        <v>12</v>
      </c>
      <c r="AG173" s="7">
        <v>2.9765265082259487</v>
      </c>
      <c r="AH173" s="7">
        <v>0.18150613070748278</v>
      </c>
      <c r="AI173" s="7">
        <v>11.838174665211284</v>
      </c>
      <c r="AJ173" s="7">
        <v>3.1359378612960516</v>
      </c>
      <c r="AK173" s="7">
        <v>3.6778332220009808</v>
      </c>
      <c r="AL173" s="7">
        <v>6.7746020535826723</v>
      </c>
      <c r="AM173" s="7">
        <v>10</v>
      </c>
      <c r="AN173" s="7">
        <v>5.7205732987247488</v>
      </c>
      <c r="AO17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56.305153739749166</v>
      </c>
    </row>
    <row r="174" spans="1:41" x14ac:dyDescent="0.3">
      <c r="A174" s="2" t="s">
        <v>171</v>
      </c>
      <c r="B174">
        <f>'Rådata-K'!N173</f>
        <v>6</v>
      </c>
      <c r="C174" s="7">
        <f>'Rådata-K'!M173</f>
        <v>229.5833333333</v>
      </c>
      <c r="D174" s="24">
        <f>'Rådata-K'!O173</f>
        <v>6.7469852335668437</v>
      </c>
      <c r="E174" s="24">
        <f>'Rådata-K'!P173</f>
        <v>6.2145425074291882</v>
      </c>
      <c r="F174" s="24">
        <f>'Rådata-K'!Q173</f>
        <v>7.4946081955427735E-2</v>
      </c>
      <c r="G174" s="24">
        <f>'Rådata-K'!R173</f>
        <v>0.11068383213509446</v>
      </c>
      <c r="H174" s="24">
        <f>'Rådata-K'!S173</f>
        <v>0.15565958869754221</v>
      </c>
      <c r="I174" s="24">
        <f>'Rådata-K'!T173</f>
        <v>1.3765541740675014E-2</v>
      </c>
      <c r="J174" s="24">
        <f>'Rådata-K'!U173</f>
        <v>0.82710280373831779</v>
      </c>
      <c r="K174" s="24">
        <f>'Rådata-K'!L173</f>
        <v>378300</v>
      </c>
      <c r="L174" s="24">
        <f>Tabell2[[#This Row],[NIBR11]]</f>
        <v>6</v>
      </c>
      <c r="M174" s="24">
        <f>IF(Tabell2[[#This Row],[ReisetidOslo]]&lt;=C$434,C$434,IF(Tabell2[[#This Row],[ReisetidOslo]]&gt;=C$435,C$435,Tabell2[[#This Row],[ReisetidOslo]]))</f>
        <v>229.5833333333</v>
      </c>
      <c r="N174" s="24">
        <f>IF(Tabell2[[#This Row],[Beftettland]]&lt;=D$434,D$434,IF(Tabell2[[#This Row],[Beftettland]]&gt;=D$435,D$435,Tabell2[[#This Row],[Beftettland]]))</f>
        <v>6.7469852335668437</v>
      </c>
      <c r="O174" s="24">
        <f>IF(Tabell2[[#This Row],[Beftettotal]]&lt;=E$434,E$434,IF(Tabell2[[#This Row],[Beftettotal]]&gt;=E$435,E$435,Tabell2[[#This Row],[Beftettotal]]))</f>
        <v>6.2145425074291882</v>
      </c>
      <c r="P174" s="24">
        <f>IF(Tabell2[[#This Row],[Befvekst10]]&lt;=F$434,F$434,IF(Tabell2[[#This Row],[Befvekst10]]&gt;=F$435,F$435,Tabell2[[#This Row],[Befvekst10]]))</f>
        <v>7.4946081955427735E-2</v>
      </c>
      <c r="Q174" s="24">
        <f>IF(Tabell2[[#This Row],[Kvinneandel]]&lt;=G$434,G$434,IF(Tabell2[[#This Row],[Kvinneandel]]&gt;=G$435,G$435,Tabell2[[#This Row],[Kvinneandel]]))</f>
        <v>0.11068383213509446</v>
      </c>
      <c r="R174" s="24">
        <f>IF(Tabell2[[#This Row],[Eldreandel]]&lt;=H$434,H$434,IF(Tabell2[[#This Row],[Eldreandel]]&gt;=H$435,H$435,Tabell2[[#This Row],[Eldreandel]]))</f>
        <v>0.15565958869754221</v>
      </c>
      <c r="S174" s="24">
        <f>IF(Tabell2[[#This Row],[Sysselsettingsvekst10]]&lt;=I$434,I$434,IF(Tabell2[[#This Row],[Sysselsettingsvekst10]]&gt;=I$435,I$435,Tabell2[[#This Row],[Sysselsettingsvekst10]]))</f>
        <v>1.3765541740675014E-2</v>
      </c>
      <c r="T174" s="24">
        <f>IF(Tabell2[[#This Row],[Yrkesaktivandel]]&lt;=J$434,J$434,IF(Tabell2[[#This Row],[Yrkesaktivandel]]&gt;=J$435,J$435,Tabell2[[#This Row],[Yrkesaktivandel]]))</f>
        <v>0.82710280373831779</v>
      </c>
      <c r="U174" s="24">
        <f>IF(Tabell2[[#This Row],[Inntekt]]&lt;=K$434,K$434,IF(Tabell2[[#This Row],[Inntekt]]&gt;=K$435,K$435,Tabell2[[#This Row],[Inntekt]]))</f>
        <v>378300</v>
      </c>
      <c r="V174" s="7">
        <f>IF(Tabell2[[#This Row],[NIBR11-T]]&lt;=L$437,100,IF(Tabell2[[#This Row],[NIBR11-T]]&gt;=L$436,0,100*(L$436-Tabell2[[#This Row],[NIBR11-T]])/L$439))</f>
        <v>50</v>
      </c>
      <c r="W174" s="7">
        <f>(M$436-Tabell2[[#This Row],[ReisetidOslo-T]])*100/M$439</f>
        <v>22.321023766018925</v>
      </c>
      <c r="X174" s="7">
        <f>100-(N$436-Tabell2[[#This Row],[Beftettland-T]])*100/N$439</f>
        <v>3.9533043911615096</v>
      </c>
      <c r="Y174" s="7">
        <f>100-(O$436-Tabell2[[#This Row],[Beftettotal-T]])*100/O$439</f>
        <v>3.7479540381389995</v>
      </c>
      <c r="Z174" s="7">
        <f>100-(P$436-Tabell2[[#This Row],[Befvekst10-T]])*100/P$439</f>
        <v>59.098733994663121</v>
      </c>
      <c r="AA174" s="7">
        <f>100-(Q$436-Tabell2[[#This Row],[Kvinneandel-T]])*100/Q$439</f>
        <v>55.593735416367515</v>
      </c>
      <c r="AB174" s="7">
        <f>(R$436-Tabell2[[#This Row],[Eldreandel-T]])*100/R$439</f>
        <v>69.794732141138482</v>
      </c>
      <c r="AC174" s="7">
        <f>100-(S$436-Tabell2[[#This Row],[Sysselsettingsvekst10-T]])*100/S$439</f>
        <v>34.702810113451093</v>
      </c>
      <c r="AD174" s="7">
        <f>100-(T$436-Tabell2[[#This Row],[Yrkesaktivandel-T]])*100/T$439</f>
        <v>19.902360265432023</v>
      </c>
      <c r="AE174" s="7">
        <f>100-(U$436-Tabell2[[#This Row],[Inntekt-T]])*100/U$439</f>
        <v>38.246247601850804</v>
      </c>
      <c r="AF174" s="7">
        <v>10</v>
      </c>
      <c r="AG174" s="7">
        <v>2.2321023766018926</v>
      </c>
      <c r="AH174" s="7">
        <v>0.37479540381389997</v>
      </c>
      <c r="AI174" s="7">
        <v>11.819746798932625</v>
      </c>
      <c r="AJ174" s="7">
        <v>2.7796867708183761</v>
      </c>
      <c r="AK174" s="7">
        <v>3.4897366070569245</v>
      </c>
      <c r="AL174" s="7">
        <v>3.4702810113451097</v>
      </c>
      <c r="AM174" s="7">
        <v>1.9902360265432024</v>
      </c>
      <c r="AN174" s="7">
        <v>3.8246247601850807</v>
      </c>
      <c r="AO17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39.981209755297108</v>
      </c>
    </row>
    <row r="175" spans="1:41" x14ac:dyDescent="0.3">
      <c r="A175" s="2" t="s">
        <v>172</v>
      </c>
      <c r="B175">
        <f>'Rådata-K'!N174</f>
        <v>7</v>
      </c>
      <c r="C175" s="7">
        <f>'Rådata-K'!M174</f>
        <v>235.4</v>
      </c>
      <c r="D175" s="24">
        <f>'Rådata-K'!O174</f>
        <v>1.3321892406812199</v>
      </c>
      <c r="E175" s="24">
        <f>'Rådata-K'!P174</f>
        <v>1.1782638616440382</v>
      </c>
      <c r="F175" s="24">
        <f>'Rådata-K'!Q174</f>
        <v>5.2873563218390762E-2</v>
      </c>
      <c r="G175" s="24">
        <f>'Rådata-K'!R174</f>
        <v>0.11462882096069869</v>
      </c>
      <c r="H175" s="24">
        <f>'Rådata-K'!S174</f>
        <v>0.16812227074235808</v>
      </c>
      <c r="I175" s="24">
        <f>'Rådata-K'!T174</f>
        <v>8.811475409836067E-2</v>
      </c>
      <c r="J175" s="24">
        <f>'Rådata-K'!U174</f>
        <v>0.94690265486725667</v>
      </c>
      <c r="K175" s="24">
        <f>'Rådata-K'!L174</f>
        <v>453800</v>
      </c>
      <c r="L175" s="24">
        <f>Tabell2[[#This Row],[NIBR11]]</f>
        <v>7</v>
      </c>
      <c r="M175" s="24">
        <f>IF(Tabell2[[#This Row],[ReisetidOslo]]&lt;=C$434,C$434,IF(Tabell2[[#This Row],[ReisetidOslo]]&gt;=C$435,C$435,Tabell2[[#This Row],[ReisetidOslo]]))</f>
        <v>235.4</v>
      </c>
      <c r="N175" s="24">
        <f>IF(Tabell2[[#This Row],[Beftettland]]&lt;=D$434,D$434,IF(Tabell2[[#This Row],[Beftettland]]&gt;=D$435,D$435,Tabell2[[#This Row],[Beftettland]]))</f>
        <v>1.4025423756281519</v>
      </c>
      <c r="O175" s="24">
        <f>IF(Tabell2[[#This Row],[Beftettotal]]&lt;=E$434,E$434,IF(Tabell2[[#This Row],[Beftettotal]]&gt;=E$435,E$435,Tabell2[[#This Row],[Beftettotal]]))</f>
        <v>1.3180632767674032</v>
      </c>
      <c r="P175" s="24">
        <f>IF(Tabell2[[#This Row],[Befvekst10]]&lt;=F$434,F$434,IF(Tabell2[[#This Row],[Befvekst10]]&gt;=F$435,F$435,Tabell2[[#This Row],[Befvekst10]]))</f>
        <v>5.2873563218390762E-2</v>
      </c>
      <c r="Q175" s="24">
        <f>IF(Tabell2[[#This Row],[Kvinneandel]]&lt;=G$434,G$434,IF(Tabell2[[#This Row],[Kvinneandel]]&gt;=G$435,G$435,Tabell2[[#This Row],[Kvinneandel]]))</f>
        <v>0.11462882096069869</v>
      </c>
      <c r="R175" s="24">
        <f>IF(Tabell2[[#This Row],[Eldreandel]]&lt;=H$434,H$434,IF(Tabell2[[#This Row],[Eldreandel]]&gt;=H$435,H$435,Tabell2[[#This Row],[Eldreandel]]))</f>
        <v>0.16812227074235808</v>
      </c>
      <c r="S175" s="24">
        <f>IF(Tabell2[[#This Row],[Sysselsettingsvekst10]]&lt;=I$434,I$434,IF(Tabell2[[#This Row],[Sysselsettingsvekst10]]&gt;=I$435,I$435,Tabell2[[#This Row],[Sysselsettingsvekst10]]))</f>
        <v>8.811475409836067E-2</v>
      </c>
      <c r="T175" s="24">
        <f>IF(Tabell2[[#This Row],[Yrkesaktivandel]]&lt;=J$434,J$434,IF(Tabell2[[#This Row],[Yrkesaktivandel]]&gt;=J$435,J$435,Tabell2[[#This Row],[Yrkesaktivandel]]))</f>
        <v>0.94066914614326791</v>
      </c>
      <c r="U175" s="24">
        <f>IF(Tabell2[[#This Row],[Inntekt]]&lt;=K$434,K$434,IF(Tabell2[[#This Row],[Inntekt]]&gt;=K$435,K$435,Tabell2[[#This Row],[Inntekt]]))</f>
        <v>433020</v>
      </c>
      <c r="V175" s="7">
        <f>IF(Tabell2[[#This Row],[NIBR11-T]]&lt;=L$437,100,IF(Tabell2[[#This Row],[NIBR11-T]]&gt;=L$436,0,100*(L$436-Tabell2[[#This Row],[NIBR11-T]])/L$439))</f>
        <v>40</v>
      </c>
      <c r="W175" s="7">
        <f>(M$436-Tabell2[[#This Row],[ReisetidOslo-T]])*100/M$439</f>
        <v>19.768921389404923</v>
      </c>
      <c r="X175" s="7">
        <f>100-(N$436-Tabell2[[#This Row],[Beftettland-T]])*100/N$439</f>
        <v>0</v>
      </c>
      <c r="Y175" s="7">
        <f>100-(O$436-Tabell2[[#This Row],[Beftettotal-T]])*100/O$439</f>
        <v>0</v>
      </c>
      <c r="Z175" s="7">
        <f>100-(P$436-Tabell2[[#This Row],[Befvekst10-T]])*100/P$439</f>
        <v>50.164638096336269</v>
      </c>
      <c r="AA175" s="7">
        <f>100-(Q$436-Tabell2[[#This Row],[Kvinneandel-T]])*100/Q$439</f>
        <v>65.957431215421735</v>
      </c>
      <c r="AB175" s="7">
        <f>(R$436-Tabell2[[#This Row],[Eldreandel-T]])*100/R$439</f>
        <v>56.344322301537581</v>
      </c>
      <c r="AC175" s="7">
        <f>100-(S$436-Tabell2[[#This Row],[Sysselsettingsvekst10-T]])*100/S$439</f>
        <v>58.966772282845078</v>
      </c>
      <c r="AD175" s="7">
        <f>100-(T$436-Tabell2[[#This Row],[Yrkesaktivandel-T]])*100/T$439</f>
        <v>100</v>
      </c>
      <c r="AE175" s="7">
        <f>100-(U$436-Tabell2[[#This Row],[Inntekt-T]])*100/U$439</f>
        <v>100</v>
      </c>
      <c r="AF175" s="7">
        <v>8</v>
      </c>
      <c r="AG175" s="7">
        <v>1.9768921389404923</v>
      </c>
      <c r="AH175" s="7">
        <v>0</v>
      </c>
      <c r="AI175" s="7">
        <v>10.032927619267255</v>
      </c>
      <c r="AJ175" s="7">
        <v>3.2978715607710871</v>
      </c>
      <c r="AK175" s="7">
        <v>2.8172161150768793</v>
      </c>
      <c r="AL175" s="7">
        <v>5.8966772282845081</v>
      </c>
      <c r="AM175" s="7">
        <v>10</v>
      </c>
      <c r="AN175" s="7">
        <v>10</v>
      </c>
      <c r="AO17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52.021584662340217</v>
      </c>
    </row>
    <row r="176" spans="1:41" x14ac:dyDescent="0.3">
      <c r="A176" s="2" t="s">
        <v>173</v>
      </c>
      <c r="B176">
        <f>'Rådata-K'!N175</f>
        <v>5</v>
      </c>
      <c r="C176" s="7">
        <f>'Rådata-K'!M175</f>
        <v>208.78333333329999</v>
      </c>
      <c r="D176" s="24">
        <f>'Rådata-K'!O175</f>
        <v>38.566966935962625</v>
      </c>
      <c r="E176" s="24">
        <f>'Rådata-K'!P175</f>
        <v>34.549574546799853</v>
      </c>
      <c r="F176" s="24">
        <f>'Rådata-K'!Q175</f>
        <v>0.113578774780146</v>
      </c>
      <c r="G176" s="24">
        <f>'Rådata-K'!R175</f>
        <v>0.11758800696024628</v>
      </c>
      <c r="H176" s="24">
        <f>'Rådata-K'!S175</f>
        <v>0.13766564047650917</v>
      </c>
      <c r="I176" s="24">
        <f>'Rådata-K'!T175</f>
        <v>8.5285384361596828E-2</v>
      </c>
      <c r="J176" s="24">
        <f>'Rådata-K'!U175</f>
        <v>0.8674712777068585</v>
      </c>
      <c r="K176" s="24">
        <f>'Rådata-K'!L175</f>
        <v>432800</v>
      </c>
      <c r="L176" s="24">
        <f>Tabell2[[#This Row],[NIBR11]]</f>
        <v>5</v>
      </c>
      <c r="M176" s="24">
        <f>IF(Tabell2[[#This Row],[ReisetidOslo]]&lt;=C$434,C$434,IF(Tabell2[[#This Row],[ReisetidOslo]]&gt;=C$435,C$435,Tabell2[[#This Row],[ReisetidOslo]]))</f>
        <v>208.78333333329999</v>
      </c>
      <c r="N176" s="24">
        <f>IF(Tabell2[[#This Row],[Beftettland]]&lt;=D$434,D$434,IF(Tabell2[[#This Row],[Beftettland]]&gt;=D$435,D$435,Tabell2[[#This Row],[Beftettland]]))</f>
        <v>38.566966935962625</v>
      </c>
      <c r="O176" s="24">
        <f>IF(Tabell2[[#This Row],[Beftettotal]]&lt;=E$434,E$434,IF(Tabell2[[#This Row],[Beftettotal]]&gt;=E$435,E$435,Tabell2[[#This Row],[Beftettotal]]))</f>
        <v>34.549574546799853</v>
      </c>
      <c r="P176" s="24">
        <f>IF(Tabell2[[#This Row],[Befvekst10]]&lt;=F$434,F$434,IF(Tabell2[[#This Row],[Befvekst10]]&gt;=F$435,F$435,Tabell2[[#This Row],[Befvekst10]]))</f>
        <v>0.113578774780146</v>
      </c>
      <c r="Q176" s="24">
        <f>IF(Tabell2[[#This Row],[Kvinneandel]]&lt;=G$434,G$434,IF(Tabell2[[#This Row],[Kvinneandel]]&gt;=G$435,G$435,Tabell2[[#This Row],[Kvinneandel]]))</f>
        <v>0.11758800696024628</v>
      </c>
      <c r="R176" s="24">
        <f>IF(Tabell2[[#This Row],[Eldreandel]]&lt;=H$434,H$434,IF(Tabell2[[#This Row],[Eldreandel]]&gt;=H$435,H$435,Tabell2[[#This Row],[Eldreandel]]))</f>
        <v>0.13766564047650917</v>
      </c>
      <c r="S176" s="24">
        <f>IF(Tabell2[[#This Row],[Sysselsettingsvekst10]]&lt;=I$434,I$434,IF(Tabell2[[#This Row],[Sysselsettingsvekst10]]&gt;=I$435,I$435,Tabell2[[#This Row],[Sysselsettingsvekst10]]))</f>
        <v>8.5285384361596828E-2</v>
      </c>
      <c r="T176" s="24">
        <f>IF(Tabell2[[#This Row],[Yrkesaktivandel]]&lt;=J$434,J$434,IF(Tabell2[[#This Row],[Yrkesaktivandel]]&gt;=J$435,J$435,Tabell2[[#This Row],[Yrkesaktivandel]]))</f>
        <v>0.8674712777068585</v>
      </c>
      <c r="U176" s="24">
        <f>IF(Tabell2[[#This Row],[Inntekt]]&lt;=K$434,K$434,IF(Tabell2[[#This Row],[Inntekt]]&gt;=K$435,K$435,Tabell2[[#This Row],[Inntekt]]))</f>
        <v>432800</v>
      </c>
      <c r="V176" s="7">
        <f>IF(Tabell2[[#This Row],[NIBR11-T]]&lt;=L$437,100,IF(Tabell2[[#This Row],[NIBR11-T]]&gt;=L$436,0,100*(L$436-Tabell2[[#This Row],[NIBR11-T]])/L$439))</f>
        <v>60</v>
      </c>
      <c r="W176" s="7">
        <f>(M$436-Tabell2[[#This Row],[ReisetidOslo-T]])*100/M$439</f>
        <v>31.447166361996054</v>
      </c>
      <c r="X176" s="7">
        <f>100-(N$436-Tabell2[[#This Row],[Beftettland-T]])*100/N$439</f>
        <v>27.490663987757117</v>
      </c>
      <c r="Y176" s="7">
        <f>100-(O$436-Tabell2[[#This Row],[Beftettotal-T]])*100/O$439</f>
        <v>25.436680314713826</v>
      </c>
      <c r="Z176" s="7">
        <f>100-(P$436-Tabell2[[#This Row],[Befvekst10-T]])*100/P$439</f>
        <v>74.735743373546981</v>
      </c>
      <c r="AA176" s="7">
        <f>100-(Q$436-Tabell2[[#This Row],[Kvinneandel-T]])*100/Q$439</f>
        <v>73.731370475549824</v>
      </c>
      <c r="AB176" s="7">
        <f>(R$436-Tabell2[[#This Row],[Eldreandel-T]])*100/R$439</f>
        <v>89.214787738731772</v>
      </c>
      <c r="AC176" s="7">
        <f>100-(S$436-Tabell2[[#This Row],[Sysselsettingsvekst10-T]])*100/S$439</f>
        <v>58.043403788693581</v>
      </c>
      <c r="AD176" s="7">
        <f>100-(T$436-Tabell2[[#This Row],[Yrkesaktivandel-T]])*100/T$439</f>
        <v>48.37399557650744</v>
      </c>
      <c r="AE176" s="7">
        <f>100-(U$436-Tabell2[[#This Row],[Inntekt-T]])*100/U$439</f>
        <v>99.751721024715039</v>
      </c>
      <c r="AF176" s="7">
        <v>12</v>
      </c>
      <c r="AG176" s="7">
        <v>3.1447166361996057</v>
      </c>
      <c r="AH176" s="7">
        <v>2.5436680314713827</v>
      </c>
      <c r="AI176" s="7">
        <v>14.947148674709396</v>
      </c>
      <c r="AJ176" s="7">
        <v>3.6865685237774914</v>
      </c>
      <c r="AK176" s="7">
        <v>4.4607393869365888</v>
      </c>
      <c r="AL176" s="7">
        <v>5.8043403788693588</v>
      </c>
      <c r="AM176" s="7">
        <v>4.8373995576507447</v>
      </c>
      <c r="AN176" s="7">
        <v>9.9751721024715039</v>
      </c>
      <c r="AO17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61.399753292086061</v>
      </c>
    </row>
    <row r="177" spans="1:41" x14ac:dyDescent="0.3">
      <c r="A177" s="2" t="s">
        <v>174</v>
      </c>
      <c r="B177">
        <f>'Rådata-K'!N176</f>
        <v>2</v>
      </c>
      <c r="C177" s="7">
        <f>'Rådata-K'!M176</f>
        <v>161.98333333329998</v>
      </c>
      <c r="D177" s="24">
        <f>'Rådata-K'!O176</f>
        <v>262.14000420433047</v>
      </c>
      <c r="E177" s="24">
        <f>'Rådata-K'!P176</f>
        <v>245.79500657030221</v>
      </c>
      <c r="F177" s="24">
        <f>'Rådata-K'!Q176</f>
        <v>0.26927579011654545</v>
      </c>
      <c r="G177" s="24">
        <f>'Rådata-K'!R176</f>
        <v>0.14415931569099172</v>
      </c>
      <c r="H177" s="24">
        <f>'Rådata-K'!S176</f>
        <v>0.10061480887463245</v>
      </c>
      <c r="I177" s="24">
        <f>'Rådata-K'!T176</f>
        <v>0.26310020507743448</v>
      </c>
      <c r="J177" s="24">
        <f>'Rådata-K'!U176</f>
        <v>0.8479318466990996</v>
      </c>
      <c r="K177" s="24">
        <f>'Rådata-K'!L176</f>
        <v>485700</v>
      </c>
      <c r="L177" s="24">
        <f>Tabell2[[#This Row],[NIBR11]]</f>
        <v>2</v>
      </c>
      <c r="M177" s="24">
        <f>IF(Tabell2[[#This Row],[ReisetidOslo]]&lt;=C$434,C$434,IF(Tabell2[[#This Row],[ReisetidOslo]]&gt;=C$435,C$435,Tabell2[[#This Row],[ReisetidOslo]]))</f>
        <v>161.98333333329998</v>
      </c>
      <c r="N177" s="24">
        <f>IF(Tabell2[[#This Row],[Beftettland]]&lt;=D$434,D$434,IF(Tabell2[[#This Row],[Beftettland]]&gt;=D$435,D$435,Tabell2[[#This Row],[Beftettland]]))</f>
        <v>136.59179999736304</v>
      </c>
      <c r="O177" s="24">
        <f>IF(Tabell2[[#This Row],[Beftettotal]]&lt;=E$434,E$434,IF(Tabell2[[#This Row],[Beftettotal]]&gt;=E$435,E$435,Tabell2[[#This Row],[Beftettotal]]))</f>
        <v>131.96212083018065</v>
      </c>
      <c r="P177" s="24">
        <f>IF(Tabell2[[#This Row],[Befvekst10]]&lt;=F$434,F$434,IF(Tabell2[[#This Row],[Befvekst10]]&gt;=F$435,F$435,Tabell2[[#This Row],[Befvekst10]]))</f>
        <v>0.17599648151968622</v>
      </c>
      <c r="Q177" s="24">
        <f>IF(Tabell2[[#This Row],[Kvinneandel]]&lt;=G$434,G$434,IF(Tabell2[[#This Row],[Kvinneandel]]&gt;=G$435,G$435,Tabell2[[#This Row],[Kvinneandel]]))</f>
        <v>0.12758728250318055</v>
      </c>
      <c r="R177" s="24">
        <f>IF(Tabell2[[#This Row],[Eldreandel]]&lt;=H$434,H$434,IF(Tabell2[[#This Row],[Eldreandel]]&gt;=H$435,H$435,Tabell2[[#This Row],[Eldreandel]]))</f>
        <v>0.12767243783057225</v>
      </c>
      <c r="S177" s="24">
        <f>IF(Tabell2[[#This Row],[Sysselsettingsvekst10]]&lt;=I$434,I$434,IF(Tabell2[[#This Row],[Sysselsettingsvekst10]]&gt;=I$435,I$435,Tabell2[[#This Row],[Sysselsettingsvekst10]]))</f>
        <v>0.21384805931725109</v>
      </c>
      <c r="T177" s="24">
        <f>IF(Tabell2[[#This Row],[Yrkesaktivandel]]&lt;=J$434,J$434,IF(Tabell2[[#This Row],[Yrkesaktivandel]]&gt;=J$435,J$435,Tabell2[[#This Row],[Yrkesaktivandel]]))</f>
        <v>0.8479318466990996</v>
      </c>
      <c r="U177" s="24">
        <f>IF(Tabell2[[#This Row],[Inntekt]]&lt;=K$434,K$434,IF(Tabell2[[#This Row],[Inntekt]]&gt;=K$435,K$435,Tabell2[[#This Row],[Inntekt]]))</f>
        <v>433020</v>
      </c>
      <c r="V177" s="7">
        <f>IF(Tabell2[[#This Row],[NIBR11-T]]&lt;=L$437,100,IF(Tabell2[[#This Row],[NIBR11-T]]&gt;=L$436,0,100*(L$436-Tabell2[[#This Row],[NIBR11-T]])/L$439))</f>
        <v>90</v>
      </c>
      <c r="W177" s="7">
        <f>(M$436-Tabell2[[#This Row],[ReisetidOslo-T]])*100/M$439</f>
        <v>51.980987202944597</v>
      </c>
      <c r="X177" s="7">
        <f>100-(N$436-Tabell2[[#This Row],[Beftettland-T]])*100/N$439</f>
        <v>100</v>
      </c>
      <c r="Y177" s="7">
        <f>100-(O$436-Tabell2[[#This Row],[Beftettotal-T]])*100/O$439</f>
        <v>100</v>
      </c>
      <c r="Z177" s="7">
        <f>100-(P$436-Tabell2[[#This Row],[Befvekst10-T]])*100/P$439</f>
        <v>100</v>
      </c>
      <c r="AA177" s="7">
        <f>100-(Q$436-Tabell2[[#This Row],[Kvinneandel-T]])*100/Q$439</f>
        <v>100</v>
      </c>
      <c r="AB177" s="7">
        <f>(R$436-Tabell2[[#This Row],[Eldreandel-T]])*100/R$439</f>
        <v>100</v>
      </c>
      <c r="AC177" s="7">
        <f>100-(S$436-Tabell2[[#This Row],[Sysselsettingsvekst10-T]])*100/S$439</f>
        <v>100</v>
      </c>
      <c r="AD177" s="7">
        <f>100-(T$436-Tabell2[[#This Row],[Yrkesaktivandel-T]])*100/T$439</f>
        <v>34.592955592871405</v>
      </c>
      <c r="AE177" s="7">
        <f>100-(U$436-Tabell2[[#This Row],[Inntekt-T]])*100/U$439</f>
        <v>100</v>
      </c>
      <c r="AF177" s="7">
        <v>18</v>
      </c>
      <c r="AG177" s="7">
        <v>5.1980987202944604</v>
      </c>
      <c r="AH177" s="7">
        <v>10</v>
      </c>
      <c r="AI177" s="7">
        <v>20</v>
      </c>
      <c r="AJ177" s="7">
        <v>5</v>
      </c>
      <c r="AK177" s="7">
        <v>5</v>
      </c>
      <c r="AL177" s="7">
        <v>10</v>
      </c>
      <c r="AM177" s="7">
        <v>3.4592955592871406</v>
      </c>
      <c r="AN177" s="7">
        <v>10</v>
      </c>
      <c r="AO17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86.657394279581609</v>
      </c>
    </row>
    <row r="178" spans="1:41" x14ac:dyDescent="0.3">
      <c r="A178" s="2" t="s">
        <v>175</v>
      </c>
      <c r="B178">
        <f>'Rådata-K'!N177</f>
        <v>2</v>
      </c>
      <c r="C178" s="7">
        <f>'Rådata-K'!M177</f>
        <v>161.9</v>
      </c>
      <c r="D178" s="24">
        <f>'Rådata-K'!O177</f>
        <v>1950.6470588235295</v>
      </c>
      <c r="E178" s="24">
        <f>'Rådata-K'!P177</f>
        <v>1859.0609670637702</v>
      </c>
      <c r="F178" s="24">
        <f>'Rådata-K'!Q177</f>
        <v>0.15185355644902176</v>
      </c>
      <c r="G178" s="24">
        <f>'Rådata-K'!R177</f>
        <v>0.14826151201712856</v>
      </c>
      <c r="H178" s="24">
        <f>'Rådata-K'!S177</f>
        <v>0.11218750942372063</v>
      </c>
      <c r="I178" s="24">
        <f>'Rådata-K'!T177</f>
        <v>0.1684802051037444</v>
      </c>
      <c r="J178" s="24">
        <f>'Rådata-K'!U177</f>
        <v>0.82130654971043637</v>
      </c>
      <c r="K178" s="24">
        <f>'Rådata-K'!L177</f>
        <v>538100</v>
      </c>
      <c r="L178" s="24">
        <f>Tabell2[[#This Row],[NIBR11]]</f>
        <v>2</v>
      </c>
      <c r="M178" s="24">
        <f>IF(Tabell2[[#This Row],[ReisetidOslo]]&lt;=C$434,C$434,IF(Tabell2[[#This Row],[ReisetidOslo]]&gt;=C$435,C$435,Tabell2[[#This Row],[ReisetidOslo]]))</f>
        <v>161.9</v>
      </c>
      <c r="N178" s="24">
        <f>IF(Tabell2[[#This Row],[Beftettland]]&lt;=D$434,D$434,IF(Tabell2[[#This Row],[Beftettland]]&gt;=D$435,D$435,Tabell2[[#This Row],[Beftettland]]))</f>
        <v>136.59179999736304</v>
      </c>
      <c r="O178" s="24">
        <f>IF(Tabell2[[#This Row],[Beftettotal]]&lt;=E$434,E$434,IF(Tabell2[[#This Row],[Beftettotal]]&gt;=E$435,E$435,Tabell2[[#This Row],[Beftettotal]]))</f>
        <v>131.96212083018065</v>
      </c>
      <c r="P178" s="24">
        <f>IF(Tabell2[[#This Row],[Befvekst10]]&lt;=F$434,F$434,IF(Tabell2[[#This Row],[Befvekst10]]&gt;=F$435,F$435,Tabell2[[#This Row],[Befvekst10]]))</f>
        <v>0.15185355644902176</v>
      </c>
      <c r="Q178" s="24">
        <f>IF(Tabell2[[#This Row],[Kvinneandel]]&lt;=G$434,G$434,IF(Tabell2[[#This Row],[Kvinneandel]]&gt;=G$435,G$435,Tabell2[[#This Row],[Kvinneandel]]))</f>
        <v>0.12758728250318055</v>
      </c>
      <c r="R178" s="24">
        <f>IF(Tabell2[[#This Row],[Eldreandel]]&lt;=H$434,H$434,IF(Tabell2[[#This Row],[Eldreandel]]&gt;=H$435,H$435,Tabell2[[#This Row],[Eldreandel]]))</f>
        <v>0.12767243783057225</v>
      </c>
      <c r="S178" s="24">
        <f>IF(Tabell2[[#This Row],[Sysselsettingsvekst10]]&lt;=I$434,I$434,IF(Tabell2[[#This Row],[Sysselsettingsvekst10]]&gt;=I$435,I$435,Tabell2[[#This Row],[Sysselsettingsvekst10]]))</f>
        <v>0.1684802051037444</v>
      </c>
      <c r="T178" s="24">
        <f>IF(Tabell2[[#This Row],[Yrkesaktivandel]]&lt;=J$434,J$434,IF(Tabell2[[#This Row],[Yrkesaktivandel]]&gt;=J$435,J$435,Tabell2[[#This Row],[Yrkesaktivandel]]))</f>
        <v>0.82130654971043637</v>
      </c>
      <c r="U178" s="24">
        <f>IF(Tabell2[[#This Row],[Inntekt]]&lt;=K$434,K$434,IF(Tabell2[[#This Row],[Inntekt]]&gt;=K$435,K$435,Tabell2[[#This Row],[Inntekt]]))</f>
        <v>433020</v>
      </c>
      <c r="V178" s="7">
        <f>IF(Tabell2[[#This Row],[NIBR11-T]]&lt;=L$437,100,IF(Tabell2[[#This Row],[NIBR11-T]]&gt;=L$436,0,100*(L$436-Tabell2[[#This Row],[NIBR11-T]])/L$439))</f>
        <v>90</v>
      </c>
      <c r="W178" s="7">
        <f>(M$436-Tabell2[[#This Row],[ReisetidOslo-T]])*100/M$439</f>
        <v>52.017550274227943</v>
      </c>
      <c r="X178" s="7">
        <f>100-(N$436-Tabell2[[#This Row],[Beftettland-T]])*100/N$439</f>
        <v>100</v>
      </c>
      <c r="Y178" s="7">
        <f>100-(O$436-Tabell2[[#This Row],[Beftettotal-T]])*100/O$439</f>
        <v>100</v>
      </c>
      <c r="Z178" s="7">
        <f>100-(P$436-Tabell2[[#This Row],[Befvekst10-T]])*100/P$439</f>
        <v>90.227884256566227</v>
      </c>
      <c r="AA178" s="7">
        <f>100-(Q$436-Tabell2[[#This Row],[Kvinneandel-T]])*100/Q$439</f>
        <v>100</v>
      </c>
      <c r="AB178" s="7">
        <f>(R$436-Tabell2[[#This Row],[Eldreandel-T]])*100/R$439</f>
        <v>100</v>
      </c>
      <c r="AC178" s="7">
        <f>100-(S$436-Tabell2[[#This Row],[Sysselsettingsvekst10-T]])*100/S$439</f>
        <v>85.194141761081951</v>
      </c>
      <c r="AD178" s="7">
        <f>100-(T$436-Tabell2[[#This Row],[Yrkesaktivandel-T]])*100/T$439</f>
        <v>15.814298106312521</v>
      </c>
      <c r="AE178" s="7">
        <f>100-(U$436-Tabell2[[#This Row],[Inntekt-T]])*100/U$439</f>
        <v>100</v>
      </c>
      <c r="AF178" s="7">
        <v>18</v>
      </c>
      <c r="AG178" s="7">
        <v>5.2017550274227951</v>
      </c>
      <c r="AH178" s="7">
        <v>10</v>
      </c>
      <c r="AI178" s="7">
        <v>18.045576851313246</v>
      </c>
      <c r="AJ178" s="7">
        <v>5</v>
      </c>
      <c r="AK178" s="7">
        <v>5</v>
      </c>
      <c r="AL178" s="7">
        <v>8.5194141761081958</v>
      </c>
      <c r="AM178" s="7">
        <v>1.5814298106312521</v>
      </c>
      <c r="AN178" s="7">
        <v>10</v>
      </c>
      <c r="AO17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81.348175865475483</v>
      </c>
    </row>
    <row r="179" spans="1:41" x14ac:dyDescent="0.3">
      <c r="A179" s="2" t="s">
        <v>176</v>
      </c>
      <c r="B179">
        <f>'Rådata-K'!N178</f>
        <v>4</v>
      </c>
      <c r="C179" s="7">
        <f>'Rådata-K'!M178</f>
        <v>163.6666666667</v>
      </c>
      <c r="D179" s="24">
        <f>'Rådata-K'!O178</f>
        <v>540.53540081919255</v>
      </c>
      <c r="E179" s="24">
        <f>'Rådata-K'!P178</f>
        <v>508.47667538186323</v>
      </c>
      <c r="F179" s="24">
        <f>'Rådata-K'!Q178</f>
        <v>0.16425105551704577</v>
      </c>
      <c r="G179" s="24">
        <f>'Rådata-K'!R178</f>
        <v>0.13231035695921625</v>
      </c>
      <c r="H179" s="24">
        <f>'Rådata-K'!S178</f>
        <v>0.1329869286352196</v>
      </c>
      <c r="I179" s="24">
        <f>'Rådata-K'!T178</f>
        <v>0.13767690253671572</v>
      </c>
      <c r="J179" s="24">
        <f>'Rådata-K'!U178</f>
        <v>0.79760945474080047</v>
      </c>
      <c r="K179" s="24">
        <f>'Rådata-K'!L178</f>
        <v>420000</v>
      </c>
      <c r="L179" s="24">
        <f>Tabell2[[#This Row],[NIBR11]]</f>
        <v>4</v>
      </c>
      <c r="M179" s="24">
        <f>IF(Tabell2[[#This Row],[ReisetidOslo]]&lt;=C$434,C$434,IF(Tabell2[[#This Row],[ReisetidOslo]]&gt;=C$435,C$435,Tabell2[[#This Row],[ReisetidOslo]]))</f>
        <v>163.6666666667</v>
      </c>
      <c r="N179" s="24">
        <f>IF(Tabell2[[#This Row],[Beftettland]]&lt;=D$434,D$434,IF(Tabell2[[#This Row],[Beftettland]]&gt;=D$435,D$435,Tabell2[[#This Row],[Beftettland]]))</f>
        <v>136.59179999736304</v>
      </c>
      <c r="O179" s="24">
        <f>IF(Tabell2[[#This Row],[Beftettotal]]&lt;=E$434,E$434,IF(Tabell2[[#This Row],[Beftettotal]]&gt;=E$435,E$435,Tabell2[[#This Row],[Beftettotal]]))</f>
        <v>131.96212083018065</v>
      </c>
      <c r="P179" s="24">
        <f>IF(Tabell2[[#This Row],[Befvekst10]]&lt;=F$434,F$434,IF(Tabell2[[#This Row],[Befvekst10]]&gt;=F$435,F$435,Tabell2[[#This Row],[Befvekst10]]))</f>
        <v>0.16425105551704577</v>
      </c>
      <c r="Q179" s="24">
        <f>IF(Tabell2[[#This Row],[Kvinneandel]]&lt;=G$434,G$434,IF(Tabell2[[#This Row],[Kvinneandel]]&gt;=G$435,G$435,Tabell2[[#This Row],[Kvinneandel]]))</f>
        <v>0.12758728250318055</v>
      </c>
      <c r="R179" s="24">
        <f>IF(Tabell2[[#This Row],[Eldreandel]]&lt;=H$434,H$434,IF(Tabell2[[#This Row],[Eldreandel]]&gt;=H$435,H$435,Tabell2[[#This Row],[Eldreandel]]))</f>
        <v>0.1329869286352196</v>
      </c>
      <c r="S179" s="24">
        <f>IF(Tabell2[[#This Row],[Sysselsettingsvekst10]]&lt;=I$434,I$434,IF(Tabell2[[#This Row],[Sysselsettingsvekst10]]&gt;=I$435,I$435,Tabell2[[#This Row],[Sysselsettingsvekst10]]))</f>
        <v>0.13767690253671572</v>
      </c>
      <c r="T179" s="24">
        <f>IF(Tabell2[[#This Row],[Yrkesaktivandel]]&lt;=J$434,J$434,IF(Tabell2[[#This Row],[Yrkesaktivandel]]&gt;=J$435,J$435,Tabell2[[#This Row],[Yrkesaktivandel]]))</f>
        <v>0.79888426611272945</v>
      </c>
      <c r="U179" s="24">
        <f>IF(Tabell2[[#This Row],[Inntekt]]&lt;=K$434,K$434,IF(Tabell2[[#This Row],[Inntekt]]&gt;=K$435,K$435,Tabell2[[#This Row],[Inntekt]]))</f>
        <v>420000</v>
      </c>
      <c r="V179" s="7">
        <f>IF(Tabell2[[#This Row],[NIBR11-T]]&lt;=L$437,100,IF(Tabell2[[#This Row],[NIBR11-T]]&gt;=L$436,0,100*(L$436-Tabell2[[#This Row],[NIBR11-T]])/L$439))</f>
        <v>70</v>
      </c>
      <c r="W179" s="7">
        <f>(M$436-Tabell2[[#This Row],[ReisetidOslo-T]])*100/M$439</f>
        <v>51.242413162696032</v>
      </c>
      <c r="X179" s="7">
        <f>100-(N$436-Tabell2[[#This Row],[Beftettland-T]])*100/N$439</f>
        <v>100</v>
      </c>
      <c r="Y179" s="7">
        <f>100-(O$436-Tabell2[[#This Row],[Beftettotal-T]])*100/O$439</f>
        <v>100</v>
      </c>
      <c r="Z179" s="7">
        <f>100-(P$436-Tabell2[[#This Row],[Befvekst10-T]])*100/P$439</f>
        <v>95.245909018157747</v>
      </c>
      <c r="AA179" s="7">
        <f>100-(Q$436-Tabell2[[#This Row],[Kvinneandel-T]])*100/Q$439</f>
        <v>100</v>
      </c>
      <c r="AB179" s="7">
        <f>(R$436-Tabell2[[#This Row],[Eldreandel-T]])*100/R$439</f>
        <v>94.264310109633925</v>
      </c>
      <c r="AC179" s="7">
        <f>100-(S$436-Tabell2[[#This Row],[Sysselsettingsvekst10-T]])*100/S$439</f>
        <v>75.141443898150001</v>
      </c>
      <c r="AD179" s="7">
        <f>100-(T$436-Tabell2[[#This Row],[Yrkesaktivandel-T]])*100/T$439</f>
        <v>0</v>
      </c>
      <c r="AE179" s="7">
        <f>100-(U$436-Tabell2[[#This Row],[Inntekt-T]])*100/U$439</f>
        <v>85.306398826317576</v>
      </c>
      <c r="AF179" s="7">
        <v>14</v>
      </c>
      <c r="AG179" s="7">
        <v>5.1242413162696039</v>
      </c>
      <c r="AH179" s="7">
        <v>10</v>
      </c>
      <c r="AI179" s="7">
        <v>19.049181803631551</v>
      </c>
      <c r="AJ179" s="7">
        <v>5</v>
      </c>
      <c r="AK179" s="7">
        <v>4.7132155054816964</v>
      </c>
      <c r="AL179" s="7">
        <v>7.5141443898150007</v>
      </c>
      <c r="AM179" s="7">
        <v>0</v>
      </c>
      <c r="AN179" s="7">
        <v>8.5306398826317587</v>
      </c>
      <c r="AO17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73.93142289782962</v>
      </c>
    </row>
    <row r="180" spans="1:41" x14ac:dyDescent="0.3">
      <c r="A180" s="2" t="s">
        <v>177</v>
      </c>
      <c r="B180">
        <f>'Rådata-K'!N179</f>
        <v>5</v>
      </c>
      <c r="C180" s="7">
        <f>'Rådata-K'!M179</f>
        <v>225.46666666670001</v>
      </c>
      <c r="D180" s="24">
        <f>'Rådata-K'!O179</f>
        <v>12.401272693243497</v>
      </c>
      <c r="E180" s="24">
        <f>'Rådata-K'!P179</f>
        <v>11.231650676339967</v>
      </c>
      <c r="F180" s="24">
        <f>'Rådata-K'!Q179</f>
        <v>3.6352620418054205E-3</v>
      </c>
      <c r="G180" s="24">
        <f>'Rådata-K'!R179</f>
        <v>0.11469966797464534</v>
      </c>
      <c r="H180" s="24">
        <f>'Rådata-K'!S179</f>
        <v>0.16088137639601569</v>
      </c>
      <c r="I180" s="24">
        <f>'Rådata-K'!T179</f>
        <v>0.13636363636363646</v>
      </c>
      <c r="J180" s="24">
        <f>'Rådata-K'!U179</f>
        <v>0.88276990185387127</v>
      </c>
      <c r="K180" s="24">
        <f>'Rådata-K'!L179</f>
        <v>407700</v>
      </c>
      <c r="L180" s="24">
        <f>Tabell2[[#This Row],[NIBR11]]</f>
        <v>5</v>
      </c>
      <c r="M180" s="24">
        <f>IF(Tabell2[[#This Row],[ReisetidOslo]]&lt;=C$434,C$434,IF(Tabell2[[#This Row],[ReisetidOslo]]&gt;=C$435,C$435,Tabell2[[#This Row],[ReisetidOslo]]))</f>
        <v>225.46666666670001</v>
      </c>
      <c r="N180" s="24">
        <f>IF(Tabell2[[#This Row],[Beftettland]]&lt;=D$434,D$434,IF(Tabell2[[#This Row],[Beftettland]]&gt;=D$435,D$435,Tabell2[[#This Row],[Beftettland]]))</f>
        <v>12.401272693243497</v>
      </c>
      <c r="O180" s="24">
        <f>IF(Tabell2[[#This Row],[Beftettotal]]&lt;=E$434,E$434,IF(Tabell2[[#This Row],[Beftettotal]]&gt;=E$435,E$435,Tabell2[[#This Row],[Beftettotal]]))</f>
        <v>11.231650676339967</v>
      </c>
      <c r="P180" s="24">
        <f>IF(Tabell2[[#This Row],[Befvekst10]]&lt;=F$434,F$434,IF(Tabell2[[#This Row],[Befvekst10]]&gt;=F$435,F$435,Tabell2[[#This Row],[Befvekst10]]))</f>
        <v>3.6352620418054205E-3</v>
      </c>
      <c r="Q180" s="24">
        <f>IF(Tabell2[[#This Row],[Kvinneandel]]&lt;=G$434,G$434,IF(Tabell2[[#This Row],[Kvinneandel]]&gt;=G$435,G$435,Tabell2[[#This Row],[Kvinneandel]]))</f>
        <v>0.11469966797464534</v>
      </c>
      <c r="R180" s="24">
        <f>IF(Tabell2[[#This Row],[Eldreandel]]&lt;=H$434,H$434,IF(Tabell2[[#This Row],[Eldreandel]]&gt;=H$435,H$435,Tabell2[[#This Row],[Eldreandel]]))</f>
        <v>0.16088137639601569</v>
      </c>
      <c r="S180" s="24">
        <f>IF(Tabell2[[#This Row],[Sysselsettingsvekst10]]&lt;=I$434,I$434,IF(Tabell2[[#This Row],[Sysselsettingsvekst10]]&gt;=I$435,I$435,Tabell2[[#This Row],[Sysselsettingsvekst10]]))</f>
        <v>0.13636363636363646</v>
      </c>
      <c r="T180" s="24">
        <f>IF(Tabell2[[#This Row],[Yrkesaktivandel]]&lt;=J$434,J$434,IF(Tabell2[[#This Row],[Yrkesaktivandel]]&gt;=J$435,J$435,Tabell2[[#This Row],[Yrkesaktivandel]]))</f>
        <v>0.88276990185387127</v>
      </c>
      <c r="U180" s="24">
        <f>IF(Tabell2[[#This Row],[Inntekt]]&lt;=K$434,K$434,IF(Tabell2[[#This Row],[Inntekt]]&gt;=K$435,K$435,Tabell2[[#This Row],[Inntekt]]))</f>
        <v>407700</v>
      </c>
      <c r="V180" s="7">
        <f>IF(Tabell2[[#This Row],[NIBR11-T]]&lt;=L$437,100,IF(Tabell2[[#This Row],[NIBR11-T]]&gt;=L$436,0,100*(L$436-Tabell2[[#This Row],[NIBR11-T]])/L$439))</f>
        <v>60</v>
      </c>
      <c r="W180" s="7">
        <f>(M$436-Tabell2[[#This Row],[ReisetidOslo-T]])*100/M$439</f>
        <v>24.127239488110146</v>
      </c>
      <c r="X180" s="7">
        <f>100-(N$436-Tabell2[[#This Row],[Beftettland-T]])*100/N$439</f>
        <v>8.1358019942607172</v>
      </c>
      <c r="Y180" s="7">
        <f>100-(O$436-Tabell2[[#This Row],[Beftettotal-T]])*100/O$439</f>
        <v>7.5882421177246755</v>
      </c>
      <c r="Z180" s="7">
        <f>100-(P$436-Tabell2[[#This Row],[Befvekst10-T]])*100/P$439</f>
        <v>30.234891526717263</v>
      </c>
      <c r="AA180" s="7">
        <f>100-(Q$436-Tabell2[[#This Row],[Kvinneandel-T]])*100/Q$439</f>
        <v>66.143550095163278</v>
      </c>
      <c r="AB180" s="7">
        <f>(R$436-Tabell2[[#This Row],[Eldreandel-T]])*100/R$439</f>
        <v>64.159092526223461</v>
      </c>
      <c r="AC180" s="7">
        <f>100-(S$436-Tabell2[[#This Row],[Sysselsettingsvekst10-T]])*100/S$439</f>
        <v>74.71285777421582</v>
      </c>
      <c r="AD180" s="7">
        <f>100-(T$436-Tabell2[[#This Row],[Yrkesaktivandel-T]])*100/T$439</f>
        <v>59.164020679126047</v>
      </c>
      <c r="AE180" s="7">
        <f>100-(U$436-Tabell2[[#This Row],[Inntekt-T]])*100/U$439</f>
        <v>71.425347026295</v>
      </c>
      <c r="AF180" s="7">
        <v>12</v>
      </c>
      <c r="AG180" s="7">
        <v>2.4127239488110148</v>
      </c>
      <c r="AH180" s="7">
        <v>0.75882421177246762</v>
      </c>
      <c r="AI180" s="7">
        <v>6.0469783053434529</v>
      </c>
      <c r="AJ180" s="7">
        <v>3.307177504758164</v>
      </c>
      <c r="AK180" s="7">
        <v>3.2079546263111731</v>
      </c>
      <c r="AL180" s="7">
        <v>7.4712857774215822</v>
      </c>
      <c r="AM180" s="7">
        <v>5.916402067912605</v>
      </c>
      <c r="AN180" s="7">
        <v>7.1425347026295007</v>
      </c>
      <c r="AO18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48.263881144959967</v>
      </c>
    </row>
    <row r="181" spans="1:41" x14ac:dyDescent="0.3">
      <c r="A181" s="2" t="s">
        <v>178</v>
      </c>
      <c r="B181">
        <f>'Rådata-K'!N180</f>
        <v>6</v>
      </c>
      <c r="C181" s="7">
        <f>'Rådata-K'!M180</f>
        <v>230.46666666670001</v>
      </c>
      <c r="D181" s="24">
        <f>'Rådata-K'!O180</f>
        <v>9.1633466135458157</v>
      </c>
      <c r="E181" s="24">
        <f>'Rådata-K'!P180</f>
        <v>7.9403555163801967</v>
      </c>
      <c r="F181" s="24">
        <f>'Rådata-K'!Q180</f>
        <v>4.6804389928986501E-2</v>
      </c>
      <c r="G181" s="24">
        <f>'Rådata-K'!R180</f>
        <v>0.11285846438482887</v>
      </c>
      <c r="H181" s="24">
        <f>'Rådata-K'!S180</f>
        <v>0.14338575393154487</v>
      </c>
      <c r="I181" s="24">
        <f>'Rådata-K'!T180</f>
        <v>-2.5503355704697972E-2</v>
      </c>
      <c r="J181" s="24">
        <f>'Rådata-K'!U180</f>
        <v>0.90934371523915458</v>
      </c>
      <c r="K181" s="24">
        <f>'Rådata-K'!L180</f>
        <v>381300</v>
      </c>
      <c r="L181" s="24">
        <f>Tabell2[[#This Row],[NIBR11]]</f>
        <v>6</v>
      </c>
      <c r="M181" s="24">
        <f>IF(Tabell2[[#This Row],[ReisetidOslo]]&lt;=C$434,C$434,IF(Tabell2[[#This Row],[ReisetidOslo]]&gt;=C$435,C$435,Tabell2[[#This Row],[ReisetidOslo]]))</f>
        <v>230.46666666670001</v>
      </c>
      <c r="N181" s="24">
        <f>IF(Tabell2[[#This Row],[Beftettland]]&lt;=D$434,D$434,IF(Tabell2[[#This Row],[Beftettland]]&gt;=D$435,D$435,Tabell2[[#This Row],[Beftettland]]))</f>
        <v>9.1633466135458157</v>
      </c>
      <c r="O181" s="24">
        <f>IF(Tabell2[[#This Row],[Beftettotal]]&lt;=E$434,E$434,IF(Tabell2[[#This Row],[Beftettotal]]&gt;=E$435,E$435,Tabell2[[#This Row],[Beftettotal]]))</f>
        <v>7.9403555163801967</v>
      </c>
      <c r="P181" s="24">
        <f>IF(Tabell2[[#This Row],[Befvekst10]]&lt;=F$434,F$434,IF(Tabell2[[#This Row],[Befvekst10]]&gt;=F$435,F$435,Tabell2[[#This Row],[Befvekst10]]))</f>
        <v>4.6804389928986501E-2</v>
      </c>
      <c r="Q181" s="24">
        <f>IF(Tabell2[[#This Row],[Kvinneandel]]&lt;=G$434,G$434,IF(Tabell2[[#This Row],[Kvinneandel]]&gt;=G$435,G$435,Tabell2[[#This Row],[Kvinneandel]]))</f>
        <v>0.11285846438482887</v>
      </c>
      <c r="R181" s="24">
        <f>IF(Tabell2[[#This Row],[Eldreandel]]&lt;=H$434,H$434,IF(Tabell2[[#This Row],[Eldreandel]]&gt;=H$435,H$435,Tabell2[[#This Row],[Eldreandel]]))</f>
        <v>0.14338575393154487</v>
      </c>
      <c r="S181" s="24">
        <f>IF(Tabell2[[#This Row],[Sysselsettingsvekst10]]&lt;=I$434,I$434,IF(Tabell2[[#This Row],[Sysselsettingsvekst10]]&gt;=I$435,I$435,Tabell2[[#This Row],[Sysselsettingsvekst10]]))</f>
        <v>-2.5503355704697972E-2</v>
      </c>
      <c r="T181" s="24">
        <f>IF(Tabell2[[#This Row],[Yrkesaktivandel]]&lt;=J$434,J$434,IF(Tabell2[[#This Row],[Yrkesaktivandel]]&gt;=J$435,J$435,Tabell2[[#This Row],[Yrkesaktivandel]]))</f>
        <v>0.90934371523915458</v>
      </c>
      <c r="U181" s="24">
        <f>IF(Tabell2[[#This Row],[Inntekt]]&lt;=K$434,K$434,IF(Tabell2[[#This Row],[Inntekt]]&gt;=K$435,K$435,Tabell2[[#This Row],[Inntekt]]))</f>
        <v>381300</v>
      </c>
      <c r="V181" s="7">
        <f>IF(Tabell2[[#This Row],[NIBR11-T]]&lt;=L$437,100,IF(Tabell2[[#This Row],[NIBR11-T]]&gt;=L$436,0,100*(L$436-Tabell2[[#This Row],[NIBR11-T]])/L$439))</f>
        <v>50</v>
      </c>
      <c r="W181" s="7">
        <f>(M$436-Tabell2[[#This Row],[ReisetidOslo-T]])*100/M$439</f>
        <v>21.933455210231028</v>
      </c>
      <c r="X181" s="7">
        <f>100-(N$436-Tabell2[[#This Row],[Beftettland-T]])*100/N$439</f>
        <v>5.7406959505855895</v>
      </c>
      <c r="Y181" s="7">
        <f>100-(O$436-Tabell2[[#This Row],[Beftettotal-T]])*100/O$439</f>
        <v>5.0689578719685073</v>
      </c>
      <c r="Z181" s="7">
        <f>100-(P$436-Tabell2[[#This Row],[Befvekst10-T]])*100/P$439</f>
        <v>47.708073132587124</v>
      </c>
      <c r="AA181" s="7">
        <f>100-(Q$436-Tabell2[[#This Row],[Kvinneandel-T]])*100/Q$439</f>
        <v>61.306610181635932</v>
      </c>
      <c r="AB181" s="7">
        <f>(R$436-Tabell2[[#This Row],[Eldreandel-T]])*100/R$439</f>
        <v>83.04132764221508</v>
      </c>
      <c r="AC181" s="7">
        <f>100-(S$436-Tabell2[[#This Row],[Sysselsettingsvekst10-T]])*100/S$439</f>
        <v>21.887354349583191</v>
      </c>
      <c r="AD181" s="7">
        <f>100-(T$436-Tabell2[[#This Row],[Yrkesaktivandel-T]])*100/T$439</f>
        <v>77.90636709826444</v>
      </c>
      <c r="AE181" s="7">
        <f>100-(U$436-Tabell2[[#This Row],[Inntekt-T]])*100/U$439</f>
        <v>41.631869992100214</v>
      </c>
      <c r="AF181" s="7">
        <v>10</v>
      </c>
      <c r="AG181" s="7">
        <v>2.1933455210231028</v>
      </c>
      <c r="AH181" s="7">
        <v>0.5068957871968508</v>
      </c>
      <c r="AI181" s="7">
        <v>9.5416146265174255</v>
      </c>
      <c r="AJ181" s="7">
        <v>3.0653305090817966</v>
      </c>
      <c r="AK181" s="7">
        <v>4.1520663821107542</v>
      </c>
      <c r="AL181" s="7">
        <v>2.188735434958319</v>
      </c>
      <c r="AM181" s="7">
        <v>7.790636709826444</v>
      </c>
      <c r="AN181" s="7">
        <v>4.1631869992100219</v>
      </c>
      <c r="AO18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43.601811969924711</v>
      </c>
    </row>
    <row r="182" spans="1:41" x14ac:dyDescent="0.3">
      <c r="A182" s="2" t="s">
        <v>179</v>
      </c>
      <c r="B182">
        <f>'Rådata-K'!N181</f>
        <v>2</v>
      </c>
      <c r="C182" s="7">
        <f>'Rådata-K'!M181</f>
        <v>189.85</v>
      </c>
      <c r="D182" s="24">
        <f>'Rådata-K'!O181</f>
        <v>4.8934695998614242</v>
      </c>
      <c r="E182" s="24">
        <f>'Rådata-K'!P181</f>
        <v>4.342412690605018</v>
      </c>
      <c r="F182" s="24">
        <f>'Rådata-K'!Q181</f>
        <v>0.14141414141414144</v>
      </c>
      <c r="G182" s="24">
        <f>'Rådata-K'!R181</f>
        <v>0.12141592920353983</v>
      </c>
      <c r="H182" s="24">
        <f>'Rådata-K'!S181</f>
        <v>0.11504424778761062</v>
      </c>
      <c r="I182" s="24">
        <f>'Rådata-K'!T181</f>
        <v>4.1627246925260097E-2</v>
      </c>
      <c r="J182" s="24">
        <f>'Rådata-K'!U181</f>
        <v>0.95037220843672454</v>
      </c>
      <c r="K182" s="24">
        <f>'Rådata-K'!L181</f>
        <v>430100</v>
      </c>
      <c r="L182" s="24">
        <f>Tabell2[[#This Row],[NIBR11]]</f>
        <v>2</v>
      </c>
      <c r="M182" s="24">
        <f>IF(Tabell2[[#This Row],[ReisetidOslo]]&lt;=C$434,C$434,IF(Tabell2[[#This Row],[ReisetidOslo]]&gt;=C$435,C$435,Tabell2[[#This Row],[ReisetidOslo]]))</f>
        <v>189.85</v>
      </c>
      <c r="N182" s="24">
        <f>IF(Tabell2[[#This Row],[Beftettland]]&lt;=D$434,D$434,IF(Tabell2[[#This Row],[Beftettland]]&gt;=D$435,D$435,Tabell2[[#This Row],[Beftettland]]))</f>
        <v>4.8934695998614242</v>
      </c>
      <c r="O182" s="24">
        <f>IF(Tabell2[[#This Row],[Beftettotal]]&lt;=E$434,E$434,IF(Tabell2[[#This Row],[Beftettotal]]&gt;=E$435,E$435,Tabell2[[#This Row],[Beftettotal]]))</f>
        <v>4.342412690605018</v>
      </c>
      <c r="P182" s="24">
        <f>IF(Tabell2[[#This Row],[Befvekst10]]&lt;=F$434,F$434,IF(Tabell2[[#This Row],[Befvekst10]]&gt;=F$435,F$435,Tabell2[[#This Row],[Befvekst10]]))</f>
        <v>0.14141414141414144</v>
      </c>
      <c r="Q182" s="24">
        <f>IF(Tabell2[[#This Row],[Kvinneandel]]&lt;=G$434,G$434,IF(Tabell2[[#This Row],[Kvinneandel]]&gt;=G$435,G$435,Tabell2[[#This Row],[Kvinneandel]]))</f>
        <v>0.12141592920353983</v>
      </c>
      <c r="R182" s="24">
        <f>IF(Tabell2[[#This Row],[Eldreandel]]&lt;=H$434,H$434,IF(Tabell2[[#This Row],[Eldreandel]]&gt;=H$435,H$435,Tabell2[[#This Row],[Eldreandel]]))</f>
        <v>0.12767243783057225</v>
      </c>
      <c r="S182" s="24">
        <f>IF(Tabell2[[#This Row],[Sysselsettingsvekst10]]&lt;=I$434,I$434,IF(Tabell2[[#This Row],[Sysselsettingsvekst10]]&gt;=I$435,I$435,Tabell2[[#This Row],[Sysselsettingsvekst10]]))</f>
        <v>4.1627246925260097E-2</v>
      </c>
      <c r="T182" s="24">
        <f>IF(Tabell2[[#This Row],[Yrkesaktivandel]]&lt;=J$434,J$434,IF(Tabell2[[#This Row],[Yrkesaktivandel]]&gt;=J$435,J$435,Tabell2[[#This Row],[Yrkesaktivandel]]))</f>
        <v>0.94066914614326791</v>
      </c>
      <c r="U182" s="24">
        <f>IF(Tabell2[[#This Row],[Inntekt]]&lt;=K$434,K$434,IF(Tabell2[[#This Row],[Inntekt]]&gt;=K$435,K$435,Tabell2[[#This Row],[Inntekt]]))</f>
        <v>430100</v>
      </c>
      <c r="V182" s="7">
        <f>IF(Tabell2[[#This Row],[NIBR11-T]]&lt;=L$437,100,IF(Tabell2[[#This Row],[NIBR11-T]]&gt;=L$436,0,100*(L$436-Tabell2[[#This Row],[NIBR11-T]])/L$439))</f>
        <v>90</v>
      </c>
      <c r="W182" s="7">
        <f>(M$436-Tabell2[[#This Row],[ReisetidOslo-T]])*100/M$439</f>
        <v>39.754296160883683</v>
      </c>
      <c r="X182" s="7">
        <f>100-(N$436-Tabell2[[#This Row],[Beftettland-T]])*100/N$439</f>
        <v>2.5822519375030879</v>
      </c>
      <c r="Y182" s="7">
        <f>100-(O$436-Tabell2[[#This Row],[Beftettotal-T]])*100/O$439</f>
        <v>2.3149536767878942</v>
      </c>
      <c r="Z182" s="7">
        <f>100-(P$436-Tabell2[[#This Row],[Befvekst10-T]])*100/P$439</f>
        <v>86.002415647605105</v>
      </c>
      <c r="AA182" s="7">
        <f>100-(Q$436-Tabell2[[#This Row],[Kvinneandel-T]])*100/Q$439</f>
        <v>83.787526126599417</v>
      </c>
      <c r="AB182" s="7">
        <f>(R$436-Tabell2[[#This Row],[Eldreandel-T]])*100/R$439</f>
        <v>100</v>
      </c>
      <c r="AC182" s="7">
        <f>100-(S$436-Tabell2[[#This Row],[Sysselsettingsvekst10-T]])*100/S$439</f>
        <v>43.795513844073703</v>
      </c>
      <c r="AD182" s="7">
        <f>100-(T$436-Tabell2[[#This Row],[Yrkesaktivandel-T]])*100/T$439</f>
        <v>100</v>
      </c>
      <c r="AE182" s="7">
        <f>100-(U$436-Tabell2[[#This Row],[Inntekt-T]])*100/U$439</f>
        <v>96.704660873490582</v>
      </c>
      <c r="AF182" s="7">
        <v>18</v>
      </c>
      <c r="AG182" s="7">
        <v>3.9754296160883684</v>
      </c>
      <c r="AH182" s="7">
        <v>0.23149536767878942</v>
      </c>
      <c r="AI182" s="7">
        <v>17.200483129521022</v>
      </c>
      <c r="AJ182" s="7">
        <v>4.1893763063299714</v>
      </c>
      <c r="AK182" s="7">
        <v>5</v>
      </c>
      <c r="AL182" s="7">
        <v>4.3795513844073701</v>
      </c>
      <c r="AM182" s="7">
        <v>10</v>
      </c>
      <c r="AN182" s="7">
        <v>9.6704660873490589</v>
      </c>
      <c r="AO18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72.646801891374579</v>
      </c>
    </row>
    <row r="183" spans="1:41" x14ac:dyDescent="0.3">
      <c r="A183" s="2" t="s">
        <v>180</v>
      </c>
      <c r="B183">
        <f>'Rådata-K'!N182</f>
        <v>2</v>
      </c>
      <c r="C183" s="7">
        <f>'Rådata-K'!M182</f>
        <v>185.6666666667</v>
      </c>
      <c r="D183" s="24">
        <f>'Rådata-K'!O182</f>
        <v>75.030268786827023</v>
      </c>
      <c r="E183" s="24">
        <f>'Rådata-K'!P182</f>
        <v>72.060932594286598</v>
      </c>
      <c r="F183" s="24">
        <f>'Rådata-K'!Q182</f>
        <v>0.24914331787945976</v>
      </c>
      <c r="G183" s="24">
        <f>'Rådata-K'!R182</f>
        <v>0.1382927222849766</v>
      </c>
      <c r="H183" s="24">
        <f>'Rådata-K'!S182</f>
        <v>0.10849335700069926</v>
      </c>
      <c r="I183" s="24">
        <f>'Rådata-K'!T182</f>
        <v>0.20577338684779245</v>
      </c>
      <c r="J183" s="24">
        <f>'Rådata-K'!U182</f>
        <v>0.92005205912429111</v>
      </c>
      <c r="K183" s="24">
        <f>'Rådata-K'!L182</f>
        <v>427800</v>
      </c>
      <c r="L183" s="24">
        <f>Tabell2[[#This Row],[NIBR11]]</f>
        <v>2</v>
      </c>
      <c r="M183" s="24">
        <f>IF(Tabell2[[#This Row],[ReisetidOslo]]&lt;=C$434,C$434,IF(Tabell2[[#This Row],[ReisetidOslo]]&gt;=C$435,C$435,Tabell2[[#This Row],[ReisetidOslo]]))</f>
        <v>185.6666666667</v>
      </c>
      <c r="N183" s="24">
        <f>IF(Tabell2[[#This Row],[Beftettland]]&lt;=D$434,D$434,IF(Tabell2[[#This Row],[Beftettland]]&gt;=D$435,D$435,Tabell2[[#This Row],[Beftettland]]))</f>
        <v>75.030268786827023</v>
      </c>
      <c r="O183" s="24">
        <f>IF(Tabell2[[#This Row],[Beftettotal]]&lt;=E$434,E$434,IF(Tabell2[[#This Row],[Beftettotal]]&gt;=E$435,E$435,Tabell2[[#This Row],[Beftettotal]]))</f>
        <v>72.060932594286598</v>
      </c>
      <c r="P183" s="24">
        <f>IF(Tabell2[[#This Row],[Befvekst10]]&lt;=F$434,F$434,IF(Tabell2[[#This Row],[Befvekst10]]&gt;=F$435,F$435,Tabell2[[#This Row],[Befvekst10]]))</f>
        <v>0.17599648151968622</v>
      </c>
      <c r="Q183" s="24">
        <f>IF(Tabell2[[#This Row],[Kvinneandel]]&lt;=G$434,G$434,IF(Tabell2[[#This Row],[Kvinneandel]]&gt;=G$435,G$435,Tabell2[[#This Row],[Kvinneandel]]))</f>
        <v>0.12758728250318055</v>
      </c>
      <c r="R183" s="24">
        <f>IF(Tabell2[[#This Row],[Eldreandel]]&lt;=H$434,H$434,IF(Tabell2[[#This Row],[Eldreandel]]&gt;=H$435,H$435,Tabell2[[#This Row],[Eldreandel]]))</f>
        <v>0.12767243783057225</v>
      </c>
      <c r="S183" s="24">
        <f>IF(Tabell2[[#This Row],[Sysselsettingsvekst10]]&lt;=I$434,I$434,IF(Tabell2[[#This Row],[Sysselsettingsvekst10]]&gt;=I$435,I$435,Tabell2[[#This Row],[Sysselsettingsvekst10]]))</f>
        <v>0.20577338684779245</v>
      </c>
      <c r="T183" s="24">
        <f>IF(Tabell2[[#This Row],[Yrkesaktivandel]]&lt;=J$434,J$434,IF(Tabell2[[#This Row],[Yrkesaktivandel]]&gt;=J$435,J$435,Tabell2[[#This Row],[Yrkesaktivandel]]))</f>
        <v>0.92005205912429111</v>
      </c>
      <c r="U183" s="24">
        <f>IF(Tabell2[[#This Row],[Inntekt]]&lt;=K$434,K$434,IF(Tabell2[[#This Row],[Inntekt]]&gt;=K$435,K$435,Tabell2[[#This Row],[Inntekt]]))</f>
        <v>427800</v>
      </c>
      <c r="V183" s="7">
        <f>IF(Tabell2[[#This Row],[NIBR11-T]]&lt;=L$437,100,IF(Tabell2[[#This Row],[NIBR11-T]]&gt;=L$436,0,100*(L$436-Tabell2[[#This Row],[NIBR11-T]])/L$439))</f>
        <v>90</v>
      </c>
      <c r="W183" s="7">
        <f>(M$436-Tabell2[[#This Row],[ReisetidOslo-T]])*100/M$439</f>
        <v>41.589762340027917</v>
      </c>
      <c r="X183" s="7">
        <f>100-(N$436-Tabell2[[#This Row],[Beftettland-T]])*100/N$439</f>
        <v>54.462704882374815</v>
      </c>
      <c r="Y183" s="7">
        <f>100-(O$436-Tabell2[[#This Row],[Beftettotal-T]])*100/O$439</f>
        <v>54.14932040716532</v>
      </c>
      <c r="Z183" s="7">
        <f>100-(P$436-Tabell2[[#This Row],[Befvekst10-T]])*100/P$439</f>
        <v>100</v>
      </c>
      <c r="AA183" s="7">
        <f>100-(Q$436-Tabell2[[#This Row],[Kvinneandel-T]])*100/Q$439</f>
        <v>100</v>
      </c>
      <c r="AB183" s="7">
        <f>(R$436-Tabell2[[#This Row],[Eldreandel-T]])*100/R$439</f>
        <v>100</v>
      </c>
      <c r="AC183" s="7">
        <f>100-(S$436-Tabell2[[#This Row],[Sysselsettingsvekst10-T]])*100/S$439</f>
        <v>97.364820135731563</v>
      </c>
      <c r="AD183" s="7">
        <f>100-(T$436-Tabell2[[#This Row],[Yrkesaktivandel-T]])*100/T$439</f>
        <v>85.458895888943744</v>
      </c>
      <c r="AE183" s="7">
        <f>100-(U$436-Tabell2[[#This Row],[Inntekt-T]])*100/U$439</f>
        <v>94.109017040966037</v>
      </c>
      <c r="AF183" s="7">
        <v>18</v>
      </c>
      <c r="AG183" s="7">
        <v>4.1589762340027923</v>
      </c>
      <c r="AH183" s="7">
        <v>5.4149320407165327</v>
      </c>
      <c r="AI183" s="7">
        <v>20</v>
      </c>
      <c r="AJ183" s="7">
        <v>5</v>
      </c>
      <c r="AK183" s="7">
        <v>5</v>
      </c>
      <c r="AL183" s="7">
        <v>9.7364820135731573</v>
      </c>
      <c r="AM183" s="7">
        <v>8.545889588894374</v>
      </c>
      <c r="AN183" s="7">
        <v>9.4109017040966041</v>
      </c>
      <c r="AO18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85.267181581283452</v>
      </c>
    </row>
    <row r="184" spans="1:41" x14ac:dyDescent="0.3">
      <c r="A184" s="2" t="s">
        <v>181</v>
      </c>
      <c r="B184">
        <f>'Rådata-K'!N183</f>
        <v>2</v>
      </c>
      <c r="C184" s="7">
        <f>'Rådata-K'!M183</f>
        <v>167.85</v>
      </c>
      <c r="D184" s="24">
        <f>'Rådata-K'!O183</f>
        <v>185.34440644846117</v>
      </c>
      <c r="E184" s="24">
        <f>'Rådata-K'!P183</f>
        <v>167.15129086263107</v>
      </c>
      <c r="F184" s="24">
        <f>'Rådata-K'!Q183</f>
        <v>0.27899137001078755</v>
      </c>
      <c r="G184" s="24">
        <f>'Rådata-K'!R183</f>
        <v>0.13658408012651554</v>
      </c>
      <c r="H184" s="24">
        <f>'Rådata-K'!S183</f>
        <v>0.10600948866631524</v>
      </c>
      <c r="I184" s="24">
        <f>'Rådata-K'!T183</f>
        <v>0.40792253521126765</v>
      </c>
      <c r="J184" s="24">
        <f>'Rådata-K'!U183</f>
        <v>0.9090826521344233</v>
      </c>
      <c r="K184" s="24">
        <f>'Rådata-K'!L183</f>
        <v>460500</v>
      </c>
      <c r="L184" s="24">
        <f>Tabell2[[#This Row],[NIBR11]]</f>
        <v>2</v>
      </c>
      <c r="M184" s="24">
        <f>IF(Tabell2[[#This Row],[ReisetidOslo]]&lt;=C$434,C$434,IF(Tabell2[[#This Row],[ReisetidOslo]]&gt;=C$435,C$435,Tabell2[[#This Row],[ReisetidOslo]]))</f>
        <v>167.85</v>
      </c>
      <c r="N184" s="24">
        <f>IF(Tabell2[[#This Row],[Beftettland]]&lt;=D$434,D$434,IF(Tabell2[[#This Row],[Beftettland]]&gt;=D$435,D$435,Tabell2[[#This Row],[Beftettland]]))</f>
        <v>136.59179999736304</v>
      </c>
      <c r="O184" s="24">
        <f>IF(Tabell2[[#This Row],[Beftettotal]]&lt;=E$434,E$434,IF(Tabell2[[#This Row],[Beftettotal]]&gt;=E$435,E$435,Tabell2[[#This Row],[Beftettotal]]))</f>
        <v>131.96212083018065</v>
      </c>
      <c r="P184" s="24">
        <f>IF(Tabell2[[#This Row],[Befvekst10]]&lt;=F$434,F$434,IF(Tabell2[[#This Row],[Befvekst10]]&gt;=F$435,F$435,Tabell2[[#This Row],[Befvekst10]]))</f>
        <v>0.17599648151968622</v>
      </c>
      <c r="Q184" s="24">
        <f>IF(Tabell2[[#This Row],[Kvinneandel]]&lt;=G$434,G$434,IF(Tabell2[[#This Row],[Kvinneandel]]&gt;=G$435,G$435,Tabell2[[#This Row],[Kvinneandel]]))</f>
        <v>0.12758728250318055</v>
      </c>
      <c r="R184" s="24">
        <f>IF(Tabell2[[#This Row],[Eldreandel]]&lt;=H$434,H$434,IF(Tabell2[[#This Row],[Eldreandel]]&gt;=H$435,H$435,Tabell2[[#This Row],[Eldreandel]]))</f>
        <v>0.12767243783057225</v>
      </c>
      <c r="S184" s="24">
        <f>IF(Tabell2[[#This Row],[Sysselsettingsvekst10]]&lt;=I$434,I$434,IF(Tabell2[[#This Row],[Sysselsettingsvekst10]]&gt;=I$435,I$435,Tabell2[[#This Row],[Sysselsettingsvekst10]]))</f>
        <v>0.21384805931725109</v>
      </c>
      <c r="T184" s="24">
        <f>IF(Tabell2[[#This Row],[Yrkesaktivandel]]&lt;=J$434,J$434,IF(Tabell2[[#This Row],[Yrkesaktivandel]]&gt;=J$435,J$435,Tabell2[[#This Row],[Yrkesaktivandel]]))</f>
        <v>0.9090826521344233</v>
      </c>
      <c r="U184" s="24">
        <f>IF(Tabell2[[#This Row],[Inntekt]]&lt;=K$434,K$434,IF(Tabell2[[#This Row],[Inntekt]]&gt;=K$435,K$435,Tabell2[[#This Row],[Inntekt]]))</f>
        <v>433020</v>
      </c>
      <c r="V184" s="7">
        <f>IF(Tabell2[[#This Row],[NIBR11-T]]&lt;=L$437,100,IF(Tabell2[[#This Row],[NIBR11-T]]&gt;=L$436,0,100*(L$436-Tabell2[[#This Row],[NIBR11-T]])/L$439))</f>
        <v>90</v>
      </c>
      <c r="W184" s="7">
        <f>(M$436-Tabell2[[#This Row],[ReisetidOslo-T]])*100/M$439</f>
        <v>49.406946983551798</v>
      </c>
      <c r="X184" s="7">
        <f>100-(N$436-Tabell2[[#This Row],[Beftettland-T]])*100/N$439</f>
        <v>100</v>
      </c>
      <c r="Y184" s="7">
        <f>100-(O$436-Tabell2[[#This Row],[Beftettotal-T]])*100/O$439</f>
        <v>100</v>
      </c>
      <c r="Z184" s="7">
        <f>100-(P$436-Tabell2[[#This Row],[Befvekst10-T]])*100/P$439</f>
        <v>100</v>
      </c>
      <c r="AA184" s="7">
        <f>100-(Q$436-Tabell2[[#This Row],[Kvinneandel-T]])*100/Q$439</f>
        <v>100</v>
      </c>
      <c r="AB184" s="7">
        <f>(R$436-Tabell2[[#This Row],[Eldreandel-T]])*100/R$439</f>
        <v>100</v>
      </c>
      <c r="AC184" s="7">
        <f>100-(S$436-Tabell2[[#This Row],[Sysselsettingsvekst10-T]])*100/S$439</f>
        <v>100</v>
      </c>
      <c r="AD184" s="7">
        <f>100-(T$436-Tabell2[[#This Row],[Yrkesaktivandel-T]])*100/T$439</f>
        <v>77.722240903232191</v>
      </c>
      <c r="AE184" s="7">
        <f>100-(U$436-Tabell2[[#This Row],[Inntekt-T]])*100/U$439</f>
        <v>100</v>
      </c>
      <c r="AF184" s="7">
        <v>18</v>
      </c>
      <c r="AG184" s="7">
        <v>4.9406946983551805</v>
      </c>
      <c r="AH184" s="7">
        <v>10</v>
      </c>
      <c r="AI184" s="7">
        <v>20</v>
      </c>
      <c r="AJ184" s="7">
        <v>5</v>
      </c>
      <c r="AK184" s="7">
        <v>5</v>
      </c>
      <c r="AL184" s="7">
        <v>10</v>
      </c>
      <c r="AM184" s="7">
        <v>7.7722240903232196</v>
      </c>
      <c r="AN184" s="7">
        <v>10</v>
      </c>
      <c r="AO18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90.712918788678394</v>
      </c>
    </row>
    <row r="185" spans="1:41" x14ac:dyDescent="0.3">
      <c r="A185" s="2" t="s">
        <v>182</v>
      </c>
      <c r="B185">
        <f>'Rådata-K'!N184</f>
        <v>2</v>
      </c>
      <c r="C185" s="7">
        <f>'Rådata-K'!M184</f>
        <v>172.03333333329999</v>
      </c>
      <c r="D185" s="24">
        <f>'Rådata-K'!O184</f>
        <v>108.68445692883896</v>
      </c>
      <c r="E185" s="24">
        <f>'Rådata-K'!P184</f>
        <v>101.38107975326164</v>
      </c>
      <c r="F185" s="24">
        <f>'Rådata-K'!Q184</f>
        <v>0.25427162828391969</v>
      </c>
      <c r="G185" s="24">
        <f>'Rådata-K'!R184</f>
        <v>0.13999569244023261</v>
      </c>
      <c r="H185" s="24">
        <f>'Rådata-K'!S184</f>
        <v>0.10822743915571828</v>
      </c>
      <c r="I185" s="24">
        <f>'Rådata-K'!T184</f>
        <v>0.11178381571175433</v>
      </c>
      <c r="J185" s="24">
        <f>'Rådata-K'!U184</f>
        <v>0.89635421401945636</v>
      </c>
      <c r="K185" s="24">
        <f>'Rådata-K'!L184</f>
        <v>469000</v>
      </c>
      <c r="L185" s="24">
        <f>Tabell2[[#This Row],[NIBR11]]</f>
        <v>2</v>
      </c>
      <c r="M185" s="24">
        <f>IF(Tabell2[[#This Row],[ReisetidOslo]]&lt;=C$434,C$434,IF(Tabell2[[#This Row],[ReisetidOslo]]&gt;=C$435,C$435,Tabell2[[#This Row],[ReisetidOslo]]))</f>
        <v>172.03333333329999</v>
      </c>
      <c r="N185" s="24">
        <f>IF(Tabell2[[#This Row],[Beftettland]]&lt;=D$434,D$434,IF(Tabell2[[#This Row],[Beftettland]]&gt;=D$435,D$435,Tabell2[[#This Row],[Beftettland]]))</f>
        <v>108.68445692883896</v>
      </c>
      <c r="O185" s="24">
        <f>IF(Tabell2[[#This Row],[Beftettotal]]&lt;=E$434,E$434,IF(Tabell2[[#This Row],[Beftettotal]]&gt;=E$435,E$435,Tabell2[[#This Row],[Beftettotal]]))</f>
        <v>101.38107975326164</v>
      </c>
      <c r="P185" s="24">
        <f>IF(Tabell2[[#This Row],[Befvekst10]]&lt;=F$434,F$434,IF(Tabell2[[#This Row],[Befvekst10]]&gt;=F$435,F$435,Tabell2[[#This Row],[Befvekst10]]))</f>
        <v>0.17599648151968622</v>
      </c>
      <c r="Q185" s="24">
        <f>IF(Tabell2[[#This Row],[Kvinneandel]]&lt;=G$434,G$434,IF(Tabell2[[#This Row],[Kvinneandel]]&gt;=G$435,G$435,Tabell2[[#This Row],[Kvinneandel]]))</f>
        <v>0.12758728250318055</v>
      </c>
      <c r="R185" s="24">
        <f>IF(Tabell2[[#This Row],[Eldreandel]]&lt;=H$434,H$434,IF(Tabell2[[#This Row],[Eldreandel]]&gt;=H$435,H$435,Tabell2[[#This Row],[Eldreandel]]))</f>
        <v>0.12767243783057225</v>
      </c>
      <c r="S185" s="24">
        <f>IF(Tabell2[[#This Row],[Sysselsettingsvekst10]]&lt;=I$434,I$434,IF(Tabell2[[#This Row],[Sysselsettingsvekst10]]&gt;=I$435,I$435,Tabell2[[#This Row],[Sysselsettingsvekst10]]))</f>
        <v>0.11178381571175433</v>
      </c>
      <c r="T185" s="24">
        <f>IF(Tabell2[[#This Row],[Yrkesaktivandel]]&lt;=J$434,J$434,IF(Tabell2[[#This Row],[Yrkesaktivandel]]&gt;=J$435,J$435,Tabell2[[#This Row],[Yrkesaktivandel]]))</f>
        <v>0.89635421401945636</v>
      </c>
      <c r="U185" s="24">
        <f>IF(Tabell2[[#This Row],[Inntekt]]&lt;=K$434,K$434,IF(Tabell2[[#This Row],[Inntekt]]&gt;=K$435,K$435,Tabell2[[#This Row],[Inntekt]]))</f>
        <v>433020</v>
      </c>
      <c r="V185" s="7">
        <f>IF(Tabell2[[#This Row],[NIBR11-T]]&lt;=L$437,100,IF(Tabell2[[#This Row],[NIBR11-T]]&gt;=L$436,0,100*(L$436-Tabell2[[#This Row],[NIBR11-T]])/L$439))</f>
        <v>90</v>
      </c>
      <c r="W185" s="7">
        <f>(M$436-Tabell2[[#This Row],[ReisetidOslo-T]])*100/M$439</f>
        <v>47.571480804407564</v>
      </c>
      <c r="X185" s="7">
        <f>100-(N$436-Tabell2[[#This Row],[Beftettland-T]])*100/N$439</f>
        <v>79.356833849469027</v>
      </c>
      <c r="Y185" s="7">
        <f>100-(O$436-Tabell2[[#This Row],[Beftettotal-T]])*100/O$439</f>
        <v>76.592091787706394</v>
      </c>
      <c r="Z185" s="7">
        <f>100-(P$436-Tabell2[[#This Row],[Befvekst10-T]])*100/P$439</f>
        <v>100</v>
      </c>
      <c r="AA185" s="7">
        <f>100-(Q$436-Tabell2[[#This Row],[Kvinneandel-T]])*100/Q$439</f>
        <v>100</v>
      </c>
      <c r="AB185" s="7">
        <f>(R$436-Tabell2[[#This Row],[Eldreandel-T]])*100/R$439</f>
        <v>100</v>
      </c>
      <c r="AC185" s="7">
        <f>100-(S$436-Tabell2[[#This Row],[Sysselsettingsvekst10-T]])*100/S$439</f>
        <v>66.691201330048983</v>
      </c>
      <c r="AD185" s="7">
        <f>100-(T$436-Tabell2[[#This Row],[Yrkesaktivandel-T]])*100/T$439</f>
        <v>68.744952131520137</v>
      </c>
      <c r="AE185" s="7">
        <f>100-(U$436-Tabell2[[#This Row],[Inntekt-T]])*100/U$439</f>
        <v>100</v>
      </c>
      <c r="AF185" s="7">
        <v>18</v>
      </c>
      <c r="AG185" s="7">
        <v>4.7571480804407562</v>
      </c>
      <c r="AH185" s="7">
        <v>7.6592091787706398</v>
      </c>
      <c r="AI185" s="7">
        <v>20</v>
      </c>
      <c r="AJ185" s="7">
        <v>5</v>
      </c>
      <c r="AK185" s="7">
        <v>5</v>
      </c>
      <c r="AL185" s="7">
        <v>6.669120133004899</v>
      </c>
      <c r="AM185" s="7">
        <v>6.8744952131520138</v>
      </c>
      <c r="AN185" s="7">
        <v>10</v>
      </c>
      <c r="AO18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83.959972605368307</v>
      </c>
    </row>
    <row r="186" spans="1:41" x14ac:dyDescent="0.3">
      <c r="A186" s="2" t="s">
        <v>183</v>
      </c>
      <c r="B186">
        <f>'Rådata-K'!N185</f>
        <v>2</v>
      </c>
      <c r="C186" s="7">
        <f>'Rådata-K'!M185</f>
        <v>171.65</v>
      </c>
      <c r="D186" s="24">
        <f>'Rådata-K'!O185</f>
        <v>21.23432461483339</v>
      </c>
      <c r="E186" s="24">
        <f>'Rådata-K'!P185</f>
        <v>19.181163524557</v>
      </c>
      <c r="F186" s="24">
        <f>'Rådata-K'!Q185</f>
        <v>0.25747931253978362</v>
      </c>
      <c r="G186" s="24">
        <f>'Rådata-K'!R185</f>
        <v>0.14679827891672995</v>
      </c>
      <c r="H186" s="24">
        <f>'Rådata-K'!S185</f>
        <v>8.3438791867037884E-2</v>
      </c>
      <c r="I186" s="24">
        <f>'Rådata-K'!T185</f>
        <v>0.30448604733309792</v>
      </c>
      <c r="J186" s="24">
        <f>'Rådata-K'!U185</f>
        <v>0.89907355418304324</v>
      </c>
      <c r="K186" s="24">
        <f>'Rådata-K'!L185</f>
        <v>450800</v>
      </c>
      <c r="L186" s="24">
        <f>Tabell2[[#This Row],[NIBR11]]</f>
        <v>2</v>
      </c>
      <c r="M186" s="24">
        <f>IF(Tabell2[[#This Row],[ReisetidOslo]]&lt;=C$434,C$434,IF(Tabell2[[#This Row],[ReisetidOslo]]&gt;=C$435,C$435,Tabell2[[#This Row],[ReisetidOslo]]))</f>
        <v>171.65</v>
      </c>
      <c r="N186" s="24">
        <f>IF(Tabell2[[#This Row],[Beftettland]]&lt;=D$434,D$434,IF(Tabell2[[#This Row],[Beftettland]]&gt;=D$435,D$435,Tabell2[[#This Row],[Beftettland]]))</f>
        <v>21.23432461483339</v>
      </c>
      <c r="O186" s="24">
        <f>IF(Tabell2[[#This Row],[Beftettotal]]&lt;=E$434,E$434,IF(Tabell2[[#This Row],[Beftettotal]]&gt;=E$435,E$435,Tabell2[[#This Row],[Beftettotal]]))</f>
        <v>19.181163524557</v>
      </c>
      <c r="P186" s="24">
        <f>IF(Tabell2[[#This Row],[Befvekst10]]&lt;=F$434,F$434,IF(Tabell2[[#This Row],[Befvekst10]]&gt;=F$435,F$435,Tabell2[[#This Row],[Befvekst10]]))</f>
        <v>0.17599648151968622</v>
      </c>
      <c r="Q186" s="24">
        <f>IF(Tabell2[[#This Row],[Kvinneandel]]&lt;=G$434,G$434,IF(Tabell2[[#This Row],[Kvinneandel]]&gt;=G$435,G$435,Tabell2[[#This Row],[Kvinneandel]]))</f>
        <v>0.12758728250318055</v>
      </c>
      <c r="R186" s="24">
        <f>IF(Tabell2[[#This Row],[Eldreandel]]&lt;=H$434,H$434,IF(Tabell2[[#This Row],[Eldreandel]]&gt;=H$435,H$435,Tabell2[[#This Row],[Eldreandel]]))</f>
        <v>0.12767243783057225</v>
      </c>
      <c r="S186" s="24">
        <f>IF(Tabell2[[#This Row],[Sysselsettingsvekst10]]&lt;=I$434,I$434,IF(Tabell2[[#This Row],[Sysselsettingsvekst10]]&gt;=I$435,I$435,Tabell2[[#This Row],[Sysselsettingsvekst10]]))</f>
        <v>0.21384805931725109</v>
      </c>
      <c r="T186" s="24">
        <f>IF(Tabell2[[#This Row],[Yrkesaktivandel]]&lt;=J$434,J$434,IF(Tabell2[[#This Row],[Yrkesaktivandel]]&gt;=J$435,J$435,Tabell2[[#This Row],[Yrkesaktivandel]]))</f>
        <v>0.89907355418304324</v>
      </c>
      <c r="U186" s="24">
        <f>IF(Tabell2[[#This Row],[Inntekt]]&lt;=K$434,K$434,IF(Tabell2[[#This Row],[Inntekt]]&gt;=K$435,K$435,Tabell2[[#This Row],[Inntekt]]))</f>
        <v>433020</v>
      </c>
      <c r="V186" s="7">
        <f>IF(Tabell2[[#This Row],[NIBR11-T]]&lt;=L$437,100,IF(Tabell2[[#This Row],[NIBR11-T]]&gt;=L$436,0,100*(L$436-Tabell2[[#This Row],[NIBR11-T]])/L$439))</f>
        <v>90</v>
      </c>
      <c r="W186" s="7">
        <f>(M$436-Tabell2[[#This Row],[ReisetidOslo-T]])*100/M$439</f>
        <v>47.739670932363666</v>
      </c>
      <c r="X186" s="7">
        <f>100-(N$436-Tabell2[[#This Row],[Beftettland-T]])*100/N$439</f>
        <v>14.669643570863727</v>
      </c>
      <c r="Y186" s="7">
        <f>100-(O$436-Tabell2[[#This Row],[Beftettotal-T]])*100/O$439</f>
        <v>13.673105828396643</v>
      </c>
      <c r="Z186" s="7">
        <f>100-(P$436-Tabell2[[#This Row],[Befvekst10-T]])*100/P$439</f>
        <v>100</v>
      </c>
      <c r="AA186" s="7">
        <f>100-(Q$436-Tabell2[[#This Row],[Kvinneandel-T]])*100/Q$439</f>
        <v>100</v>
      </c>
      <c r="AB186" s="7">
        <f>(R$436-Tabell2[[#This Row],[Eldreandel-T]])*100/R$439</f>
        <v>100</v>
      </c>
      <c r="AC186" s="7">
        <f>100-(S$436-Tabell2[[#This Row],[Sysselsettingsvekst10-T]])*100/S$439</f>
        <v>100</v>
      </c>
      <c r="AD186" s="7">
        <f>100-(T$436-Tabell2[[#This Row],[Yrkesaktivandel-T]])*100/T$439</f>
        <v>70.662885949992997</v>
      </c>
      <c r="AE186" s="7">
        <f>100-(U$436-Tabell2[[#This Row],[Inntekt-T]])*100/U$439</f>
        <v>100</v>
      </c>
      <c r="AF186" s="7">
        <v>18</v>
      </c>
      <c r="AG186" s="7">
        <v>4.7739670932363669</v>
      </c>
      <c r="AH186" s="7">
        <v>1.3673105828396643</v>
      </c>
      <c r="AI186" s="7">
        <v>20</v>
      </c>
      <c r="AJ186" s="7">
        <v>5</v>
      </c>
      <c r="AK186" s="7">
        <v>5</v>
      </c>
      <c r="AL186" s="7">
        <v>10</v>
      </c>
      <c r="AM186" s="7">
        <v>7.0662885949992997</v>
      </c>
      <c r="AN186" s="7">
        <v>10</v>
      </c>
      <c r="AO18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81.207566271075336</v>
      </c>
    </row>
    <row r="187" spans="1:41" x14ac:dyDescent="0.3">
      <c r="A187" s="2" t="s">
        <v>184</v>
      </c>
      <c r="B187">
        <f>'Rådata-K'!N186</f>
        <v>2</v>
      </c>
      <c r="C187" s="7">
        <f>'Rådata-K'!M186</f>
        <v>154.28333333333001</v>
      </c>
      <c r="D187" s="24">
        <f>'Rådata-K'!O186</f>
        <v>381.13042208266393</v>
      </c>
      <c r="E187" s="24">
        <f>'Rådata-K'!P186</f>
        <v>379.90973940893872</v>
      </c>
      <c r="F187" s="24">
        <f>'Rådata-K'!Q186</f>
        <v>0.29585857582679509</v>
      </c>
      <c r="G187" s="24">
        <f>'Rådata-K'!R186</f>
        <v>0.14117106069895768</v>
      </c>
      <c r="H187" s="24">
        <f>'Rådata-K'!S186</f>
        <v>0.10116492949110975</v>
      </c>
      <c r="I187" s="24">
        <f>'Rådata-K'!T186</f>
        <v>0.63948863636363629</v>
      </c>
      <c r="J187" s="24">
        <f>'Rådata-K'!U186</f>
        <v>0.85312955799353163</v>
      </c>
      <c r="K187" s="24">
        <f>'Rådata-K'!L186</f>
        <v>587700</v>
      </c>
      <c r="L187" s="24">
        <f>Tabell2[[#This Row],[NIBR11]]</f>
        <v>2</v>
      </c>
      <c r="M187" s="24">
        <f>IF(Tabell2[[#This Row],[ReisetidOslo]]&lt;=C$434,C$434,IF(Tabell2[[#This Row],[ReisetidOslo]]&gt;=C$435,C$435,Tabell2[[#This Row],[ReisetidOslo]]))</f>
        <v>154.28333333333001</v>
      </c>
      <c r="N187" s="24">
        <f>IF(Tabell2[[#This Row],[Beftettland]]&lt;=D$434,D$434,IF(Tabell2[[#This Row],[Beftettland]]&gt;=D$435,D$435,Tabell2[[#This Row],[Beftettland]]))</f>
        <v>136.59179999736304</v>
      </c>
      <c r="O187" s="24">
        <f>IF(Tabell2[[#This Row],[Beftettotal]]&lt;=E$434,E$434,IF(Tabell2[[#This Row],[Beftettotal]]&gt;=E$435,E$435,Tabell2[[#This Row],[Beftettotal]]))</f>
        <v>131.96212083018065</v>
      </c>
      <c r="P187" s="24">
        <f>IF(Tabell2[[#This Row],[Befvekst10]]&lt;=F$434,F$434,IF(Tabell2[[#This Row],[Befvekst10]]&gt;=F$435,F$435,Tabell2[[#This Row],[Befvekst10]]))</f>
        <v>0.17599648151968622</v>
      </c>
      <c r="Q187" s="24">
        <f>IF(Tabell2[[#This Row],[Kvinneandel]]&lt;=G$434,G$434,IF(Tabell2[[#This Row],[Kvinneandel]]&gt;=G$435,G$435,Tabell2[[#This Row],[Kvinneandel]]))</f>
        <v>0.12758728250318055</v>
      </c>
      <c r="R187" s="24">
        <f>IF(Tabell2[[#This Row],[Eldreandel]]&lt;=H$434,H$434,IF(Tabell2[[#This Row],[Eldreandel]]&gt;=H$435,H$435,Tabell2[[#This Row],[Eldreandel]]))</f>
        <v>0.12767243783057225</v>
      </c>
      <c r="S187" s="24">
        <f>IF(Tabell2[[#This Row],[Sysselsettingsvekst10]]&lt;=I$434,I$434,IF(Tabell2[[#This Row],[Sysselsettingsvekst10]]&gt;=I$435,I$435,Tabell2[[#This Row],[Sysselsettingsvekst10]]))</f>
        <v>0.21384805931725109</v>
      </c>
      <c r="T187" s="24">
        <f>IF(Tabell2[[#This Row],[Yrkesaktivandel]]&lt;=J$434,J$434,IF(Tabell2[[#This Row],[Yrkesaktivandel]]&gt;=J$435,J$435,Tabell2[[#This Row],[Yrkesaktivandel]]))</f>
        <v>0.85312955799353163</v>
      </c>
      <c r="U187" s="24">
        <f>IF(Tabell2[[#This Row],[Inntekt]]&lt;=K$434,K$434,IF(Tabell2[[#This Row],[Inntekt]]&gt;=K$435,K$435,Tabell2[[#This Row],[Inntekt]]))</f>
        <v>433020</v>
      </c>
      <c r="V187" s="7">
        <f>IF(Tabell2[[#This Row],[NIBR11-T]]&lt;=L$437,100,IF(Tabell2[[#This Row],[NIBR11-T]]&gt;=L$436,0,100*(L$436-Tabell2[[#This Row],[NIBR11-T]])/L$439))</f>
        <v>90</v>
      </c>
      <c r="W187" s="7">
        <f>(M$436-Tabell2[[#This Row],[ReisetidOslo-T]])*100/M$439</f>
        <v>55.359414990865261</v>
      </c>
      <c r="X187" s="7">
        <f>100-(N$436-Tabell2[[#This Row],[Beftettland-T]])*100/N$439</f>
        <v>100</v>
      </c>
      <c r="Y187" s="7">
        <f>100-(O$436-Tabell2[[#This Row],[Beftettotal-T]])*100/O$439</f>
        <v>100</v>
      </c>
      <c r="Z187" s="7">
        <f>100-(P$436-Tabell2[[#This Row],[Befvekst10-T]])*100/P$439</f>
        <v>100</v>
      </c>
      <c r="AA187" s="7">
        <f>100-(Q$436-Tabell2[[#This Row],[Kvinneandel-T]])*100/Q$439</f>
        <v>100</v>
      </c>
      <c r="AB187" s="7">
        <f>(R$436-Tabell2[[#This Row],[Eldreandel-T]])*100/R$439</f>
        <v>100</v>
      </c>
      <c r="AC187" s="7">
        <f>100-(S$436-Tabell2[[#This Row],[Sysselsettingsvekst10-T]])*100/S$439</f>
        <v>100</v>
      </c>
      <c r="AD187" s="7">
        <f>100-(T$436-Tabell2[[#This Row],[Yrkesaktivandel-T]])*100/T$439</f>
        <v>38.258869259626628</v>
      </c>
      <c r="AE187" s="7">
        <f>100-(U$436-Tabell2[[#This Row],[Inntekt-T]])*100/U$439</f>
        <v>100</v>
      </c>
      <c r="AF187" s="7">
        <v>18</v>
      </c>
      <c r="AG187" s="7">
        <v>5.5359414990865261</v>
      </c>
      <c r="AH187" s="7">
        <v>10</v>
      </c>
      <c r="AI187" s="7">
        <v>20</v>
      </c>
      <c r="AJ187" s="7">
        <v>5</v>
      </c>
      <c r="AK187" s="7">
        <v>5</v>
      </c>
      <c r="AL187" s="7">
        <v>10</v>
      </c>
      <c r="AM187" s="7">
        <v>3.8258869259626631</v>
      </c>
      <c r="AN187" s="7">
        <v>10</v>
      </c>
      <c r="AO18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87.361828425049197</v>
      </c>
    </row>
    <row r="188" spans="1:41" x14ac:dyDescent="0.3">
      <c r="A188" s="2" t="s">
        <v>185</v>
      </c>
      <c r="B188">
        <f>'Rådata-K'!N187</f>
        <v>2</v>
      </c>
      <c r="C188" s="7">
        <f>'Rådata-K'!M187</f>
        <v>166.8333333333</v>
      </c>
      <c r="D188" s="24">
        <f>'Rådata-K'!O187</f>
        <v>445.33388635420988</v>
      </c>
      <c r="E188" s="24">
        <f>'Rådata-K'!P187</f>
        <v>434.52043707001212</v>
      </c>
      <c r="F188" s="24">
        <f>'Rådata-K'!Q187</f>
        <v>0.15401977644024067</v>
      </c>
      <c r="G188" s="24">
        <f>'Rådata-K'!R187</f>
        <v>0.12498835801434292</v>
      </c>
      <c r="H188" s="24">
        <f>'Rådata-K'!S187</f>
        <v>0.11381205178355221</v>
      </c>
      <c r="I188" s="24">
        <f>'Rådata-K'!T187</f>
        <v>0.12270714737507915</v>
      </c>
      <c r="J188" s="24">
        <f>'Rådata-K'!U187</f>
        <v>0.87497999039538976</v>
      </c>
      <c r="K188" s="24">
        <f>'Rådata-K'!L187</f>
        <v>517000</v>
      </c>
      <c r="L188" s="24">
        <f>Tabell2[[#This Row],[NIBR11]]</f>
        <v>2</v>
      </c>
      <c r="M188" s="24">
        <f>IF(Tabell2[[#This Row],[ReisetidOslo]]&lt;=C$434,C$434,IF(Tabell2[[#This Row],[ReisetidOslo]]&gt;=C$435,C$435,Tabell2[[#This Row],[ReisetidOslo]]))</f>
        <v>166.8333333333</v>
      </c>
      <c r="N188" s="24">
        <f>IF(Tabell2[[#This Row],[Beftettland]]&lt;=D$434,D$434,IF(Tabell2[[#This Row],[Beftettland]]&gt;=D$435,D$435,Tabell2[[#This Row],[Beftettland]]))</f>
        <v>136.59179999736304</v>
      </c>
      <c r="O188" s="24">
        <f>IF(Tabell2[[#This Row],[Beftettotal]]&lt;=E$434,E$434,IF(Tabell2[[#This Row],[Beftettotal]]&gt;=E$435,E$435,Tabell2[[#This Row],[Beftettotal]]))</f>
        <v>131.96212083018065</v>
      </c>
      <c r="P188" s="24">
        <f>IF(Tabell2[[#This Row],[Befvekst10]]&lt;=F$434,F$434,IF(Tabell2[[#This Row],[Befvekst10]]&gt;=F$435,F$435,Tabell2[[#This Row],[Befvekst10]]))</f>
        <v>0.15401977644024067</v>
      </c>
      <c r="Q188" s="24">
        <f>IF(Tabell2[[#This Row],[Kvinneandel]]&lt;=G$434,G$434,IF(Tabell2[[#This Row],[Kvinneandel]]&gt;=G$435,G$435,Tabell2[[#This Row],[Kvinneandel]]))</f>
        <v>0.12498835801434292</v>
      </c>
      <c r="R188" s="24">
        <f>IF(Tabell2[[#This Row],[Eldreandel]]&lt;=H$434,H$434,IF(Tabell2[[#This Row],[Eldreandel]]&gt;=H$435,H$435,Tabell2[[#This Row],[Eldreandel]]))</f>
        <v>0.12767243783057225</v>
      </c>
      <c r="S188" s="24">
        <f>IF(Tabell2[[#This Row],[Sysselsettingsvekst10]]&lt;=I$434,I$434,IF(Tabell2[[#This Row],[Sysselsettingsvekst10]]&gt;=I$435,I$435,Tabell2[[#This Row],[Sysselsettingsvekst10]]))</f>
        <v>0.12270714737507915</v>
      </c>
      <c r="T188" s="24">
        <f>IF(Tabell2[[#This Row],[Yrkesaktivandel]]&lt;=J$434,J$434,IF(Tabell2[[#This Row],[Yrkesaktivandel]]&gt;=J$435,J$435,Tabell2[[#This Row],[Yrkesaktivandel]]))</f>
        <v>0.87497999039538976</v>
      </c>
      <c r="U188" s="24">
        <f>IF(Tabell2[[#This Row],[Inntekt]]&lt;=K$434,K$434,IF(Tabell2[[#This Row],[Inntekt]]&gt;=K$435,K$435,Tabell2[[#This Row],[Inntekt]]))</f>
        <v>433020</v>
      </c>
      <c r="V188" s="7">
        <f>IF(Tabell2[[#This Row],[NIBR11-T]]&lt;=L$437,100,IF(Tabell2[[#This Row],[NIBR11-T]]&gt;=L$436,0,100*(L$436-Tabell2[[#This Row],[NIBR11-T]])/L$439))</f>
        <v>90</v>
      </c>
      <c r="W188" s="7">
        <f>(M$436-Tabell2[[#This Row],[ReisetidOslo-T]])*100/M$439</f>
        <v>49.853016453401843</v>
      </c>
      <c r="X188" s="7">
        <f>100-(N$436-Tabell2[[#This Row],[Beftettland-T]])*100/N$439</f>
        <v>100</v>
      </c>
      <c r="Y188" s="7">
        <f>100-(O$436-Tabell2[[#This Row],[Beftettotal-T]])*100/O$439</f>
        <v>100</v>
      </c>
      <c r="Z188" s="7">
        <f>100-(P$436-Tabell2[[#This Row],[Befvekst10-T]])*100/P$439</f>
        <v>91.10468573848992</v>
      </c>
      <c r="AA188" s="7">
        <f>100-(Q$436-Tabell2[[#This Row],[Kvinneandel-T]])*100/Q$439</f>
        <v>93.172486920061118</v>
      </c>
      <c r="AB188" s="7">
        <f>(R$436-Tabell2[[#This Row],[Eldreandel-T]])*100/R$439</f>
        <v>100</v>
      </c>
      <c r="AC188" s="7">
        <f>100-(S$436-Tabell2[[#This Row],[Sysselsettingsvekst10-T]])*100/S$439</f>
        <v>70.256044827886782</v>
      </c>
      <c r="AD188" s="7">
        <f>100-(T$436-Tabell2[[#This Row],[Yrkesaktivandel-T]])*100/T$439</f>
        <v>53.669844250155855</v>
      </c>
      <c r="AE188" s="7">
        <f>100-(U$436-Tabell2[[#This Row],[Inntekt-T]])*100/U$439</f>
        <v>100</v>
      </c>
      <c r="AF188" s="7">
        <v>18</v>
      </c>
      <c r="AG188" s="7">
        <v>4.9853016453401846</v>
      </c>
      <c r="AH188" s="7">
        <v>10</v>
      </c>
      <c r="AI188" s="7">
        <v>18.220937147697985</v>
      </c>
      <c r="AJ188" s="7">
        <v>4.6586243460030561</v>
      </c>
      <c r="AK188" s="7">
        <v>5</v>
      </c>
      <c r="AL188" s="7">
        <v>7.0256044827886788</v>
      </c>
      <c r="AM188" s="7">
        <v>5.3669844250155858</v>
      </c>
      <c r="AN188" s="7">
        <v>10</v>
      </c>
      <c r="AO18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83.257452046845486</v>
      </c>
    </row>
    <row r="189" spans="1:41" x14ac:dyDescent="0.3">
      <c r="A189" s="2" t="s">
        <v>186</v>
      </c>
      <c r="B189">
        <f>'Rådata-K'!N188</f>
        <v>2</v>
      </c>
      <c r="C189" s="7">
        <f>'Rådata-K'!M188</f>
        <v>198.3333333333</v>
      </c>
      <c r="D189" s="24">
        <f>'Rådata-K'!O188</f>
        <v>1.7665273041195191</v>
      </c>
      <c r="E189" s="24">
        <f>'Rådata-K'!P188</f>
        <v>1.5870777514261907</v>
      </c>
      <c r="F189" s="24">
        <f>'Rådata-K'!Q188</f>
        <v>0.13369963369963367</v>
      </c>
      <c r="G189" s="24">
        <f>'Rådata-K'!R188</f>
        <v>9.6930533117932149E-2</v>
      </c>
      <c r="H189" s="24">
        <f>'Rådata-K'!S188</f>
        <v>0.14297253634894991</v>
      </c>
      <c r="I189" s="24">
        <f>'Rådata-K'!T188</f>
        <v>4.4573643410852792E-2</v>
      </c>
      <c r="J189" s="24">
        <f>'Rådata-K'!U188</f>
        <v>0.91114457831325302</v>
      </c>
      <c r="K189" s="24">
        <f>'Rådata-K'!L188</f>
        <v>433800</v>
      </c>
      <c r="L189" s="24">
        <f>Tabell2[[#This Row],[NIBR11]]</f>
        <v>2</v>
      </c>
      <c r="M189" s="24">
        <f>IF(Tabell2[[#This Row],[ReisetidOslo]]&lt;=C$434,C$434,IF(Tabell2[[#This Row],[ReisetidOslo]]&gt;=C$435,C$435,Tabell2[[#This Row],[ReisetidOslo]]))</f>
        <v>198.3333333333</v>
      </c>
      <c r="N189" s="24">
        <f>IF(Tabell2[[#This Row],[Beftettland]]&lt;=D$434,D$434,IF(Tabell2[[#This Row],[Beftettland]]&gt;=D$435,D$435,Tabell2[[#This Row],[Beftettland]]))</f>
        <v>1.7665273041195191</v>
      </c>
      <c r="O189" s="24">
        <f>IF(Tabell2[[#This Row],[Beftettotal]]&lt;=E$434,E$434,IF(Tabell2[[#This Row],[Beftettotal]]&gt;=E$435,E$435,Tabell2[[#This Row],[Beftettotal]]))</f>
        <v>1.5870777514261907</v>
      </c>
      <c r="P189" s="24">
        <f>IF(Tabell2[[#This Row],[Befvekst10]]&lt;=F$434,F$434,IF(Tabell2[[#This Row],[Befvekst10]]&gt;=F$435,F$435,Tabell2[[#This Row],[Befvekst10]]))</f>
        <v>0.13369963369963367</v>
      </c>
      <c r="Q189" s="24">
        <f>IF(Tabell2[[#This Row],[Kvinneandel]]&lt;=G$434,G$434,IF(Tabell2[[#This Row],[Kvinneandel]]&gt;=G$435,G$435,Tabell2[[#This Row],[Kvinneandel]]))</f>
        <v>9.6930533117932149E-2</v>
      </c>
      <c r="R189" s="24">
        <f>IF(Tabell2[[#This Row],[Eldreandel]]&lt;=H$434,H$434,IF(Tabell2[[#This Row],[Eldreandel]]&gt;=H$435,H$435,Tabell2[[#This Row],[Eldreandel]]))</f>
        <v>0.14297253634894991</v>
      </c>
      <c r="S189" s="24">
        <f>IF(Tabell2[[#This Row],[Sysselsettingsvekst10]]&lt;=I$434,I$434,IF(Tabell2[[#This Row],[Sysselsettingsvekst10]]&gt;=I$435,I$435,Tabell2[[#This Row],[Sysselsettingsvekst10]]))</f>
        <v>4.4573643410852792E-2</v>
      </c>
      <c r="T189" s="24">
        <f>IF(Tabell2[[#This Row],[Yrkesaktivandel]]&lt;=J$434,J$434,IF(Tabell2[[#This Row],[Yrkesaktivandel]]&gt;=J$435,J$435,Tabell2[[#This Row],[Yrkesaktivandel]]))</f>
        <v>0.91114457831325302</v>
      </c>
      <c r="U189" s="24">
        <f>IF(Tabell2[[#This Row],[Inntekt]]&lt;=K$434,K$434,IF(Tabell2[[#This Row],[Inntekt]]&gt;=K$435,K$435,Tabell2[[#This Row],[Inntekt]]))</f>
        <v>433020</v>
      </c>
      <c r="V189" s="7">
        <f>IF(Tabell2[[#This Row],[NIBR11-T]]&lt;=L$437,100,IF(Tabell2[[#This Row],[NIBR11-T]]&gt;=L$436,0,100*(L$436-Tabell2[[#This Row],[NIBR11-T]])/L$439))</f>
        <v>90</v>
      </c>
      <c r="W189" s="7">
        <f>(M$436-Tabell2[[#This Row],[ReisetidOslo-T]])*100/M$439</f>
        <v>36.032175502763401</v>
      </c>
      <c r="X189" s="7">
        <f>100-(N$436-Tabell2[[#This Row],[Beftettland-T]])*100/N$439</f>
        <v>0.26924101433399983</v>
      </c>
      <c r="Y189" s="7">
        <f>100-(O$436-Tabell2[[#This Row],[Beftettotal-T]])*100/O$439</f>
        <v>0.20591405357171766</v>
      </c>
      <c r="Z189" s="7">
        <f>100-(P$436-Tabell2[[#This Row],[Befvekst10-T]])*100/P$439</f>
        <v>82.879883391503967</v>
      </c>
      <c r="AA189" s="7">
        <f>100-(Q$436-Tabell2[[#This Row],[Kvinneandel-T]])*100/Q$439</f>
        <v>19.463086243877115</v>
      </c>
      <c r="AB189" s="7">
        <f>(R$436-Tabell2[[#This Row],[Eldreandel-T]])*100/R$439</f>
        <v>83.487294715662443</v>
      </c>
      <c r="AC189" s="7">
        <f>100-(S$436-Tabell2[[#This Row],[Sysselsettingsvekst10-T]])*100/S$439</f>
        <v>44.757074169938626</v>
      </c>
      <c r="AD189" s="7">
        <f>100-(T$436-Tabell2[[#This Row],[Yrkesaktivandel-T]])*100/T$439</f>
        <v>79.176504699474506</v>
      </c>
      <c r="AE189" s="7">
        <f>100-(U$436-Tabell2[[#This Row],[Inntekt-T]])*100/U$439</f>
        <v>100</v>
      </c>
      <c r="AF189" s="7">
        <v>18</v>
      </c>
      <c r="AG189" s="7">
        <v>3.6032175502763404</v>
      </c>
      <c r="AH189" s="7">
        <v>2.0591405357171768E-2</v>
      </c>
      <c r="AI189" s="7">
        <v>16.575976678300794</v>
      </c>
      <c r="AJ189" s="7">
        <v>0.97315431219385573</v>
      </c>
      <c r="AK189" s="7">
        <v>4.1743647357831222</v>
      </c>
      <c r="AL189" s="7">
        <v>4.4757074169938624</v>
      </c>
      <c r="AM189" s="7">
        <v>7.9176504699474508</v>
      </c>
      <c r="AN189" s="7">
        <v>10</v>
      </c>
      <c r="AO18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65.740662568852599</v>
      </c>
    </row>
    <row r="190" spans="1:41" x14ac:dyDescent="0.3">
      <c r="A190" s="2" t="s">
        <v>187</v>
      </c>
      <c r="B190">
        <f>'Rådata-K'!N189</f>
        <v>2</v>
      </c>
      <c r="C190" s="7">
        <f>'Rådata-K'!M189</f>
        <v>206.5666666667</v>
      </c>
      <c r="D190" s="24">
        <f>'Rådata-K'!O189</f>
        <v>63.829569314282786</v>
      </c>
      <c r="E190" s="24">
        <f>'Rådata-K'!P189</f>
        <v>57.137618043458325</v>
      </c>
      <c r="F190" s="24">
        <f>'Rådata-K'!Q189</f>
        <v>0.17963278440280139</v>
      </c>
      <c r="G190" s="24">
        <f>'Rådata-K'!R189</f>
        <v>0.12780808729139922</v>
      </c>
      <c r="H190" s="24">
        <f>'Rådata-K'!S189</f>
        <v>0.12861039794608473</v>
      </c>
      <c r="I190" s="24">
        <f>'Rådata-K'!T189</f>
        <v>0.1669016069918241</v>
      </c>
      <c r="J190" s="24">
        <f>'Rådata-K'!U189</f>
        <v>0.84961767204757854</v>
      </c>
      <c r="K190" s="24">
        <f>'Rådata-K'!L189</f>
        <v>435200</v>
      </c>
      <c r="L190" s="24">
        <f>Tabell2[[#This Row],[NIBR11]]</f>
        <v>2</v>
      </c>
      <c r="M190" s="24">
        <f>IF(Tabell2[[#This Row],[ReisetidOslo]]&lt;=C$434,C$434,IF(Tabell2[[#This Row],[ReisetidOslo]]&gt;=C$435,C$435,Tabell2[[#This Row],[ReisetidOslo]]))</f>
        <v>206.5666666667</v>
      </c>
      <c r="N190" s="24">
        <f>IF(Tabell2[[#This Row],[Beftettland]]&lt;=D$434,D$434,IF(Tabell2[[#This Row],[Beftettland]]&gt;=D$435,D$435,Tabell2[[#This Row],[Beftettland]]))</f>
        <v>63.829569314282786</v>
      </c>
      <c r="O190" s="24">
        <f>IF(Tabell2[[#This Row],[Beftettotal]]&lt;=E$434,E$434,IF(Tabell2[[#This Row],[Beftettotal]]&gt;=E$435,E$435,Tabell2[[#This Row],[Beftettotal]]))</f>
        <v>57.137618043458325</v>
      </c>
      <c r="P190" s="24">
        <f>IF(Tabell2[[#This Row],[Befvekst10]]&lt;=F$434,F$434,IF(Tabell2[[#This Row],[Befvekst10]]&gt;=F$435,F$435,Tabell2[[#This Row],[Befvekst10]]))</f>
        <v>0.17599648151968622</v>
      </c>
      <c r="Q190" s="24">
        <f>IF(Tabell2[[#This Row],[Kvinneandel]]&lt;=G$434,G$434,IF(Tabell2[[#This Row],[Kvinneandel]]&gt;=G$435,G$435,Tabell2[[#This Row],[Kvinneandel]]))</f>
        <v>0.12758728250318055</v>
      </c>
      <c r="R190" s="24">
        <f>IF(Tabell2[[#This Row],[Eldreandel]]&lt;=H$434,H$434,IF(Tabell2[[#This Row],[Eldreandel]]&gt;=H$435,H$435,Tabell2[[#This Row],[Eldreandel]]))</f>
        <v>0.12861039794608473</v>
      </c>
      <c r="S190" s="24">
        <f>IF(Tabell2[[#This Row],[Sysselsettingsvekst10]]&lt;=I$434,I$434,IF(Tabell2[[#This Row],[Sysselsettingsvekst10]]&gt;=I$435,I$435,Tabell2[[#This Row],[Sysselsettingsvekst10]]))</f>
        <v>0.1669016069918241</v>
      </c>
      <c r="T190" s="24">
        <f>IF(Tabell2[[#This Row],[Yrkesaktivandel]]&lt;=J$434,J$434,IF(Tabell2[[#This Row],[Yrkesaktivandel]]&gt;=J$435,J$435,Tabell2[[#This Row],[Yrkesaktivandel]]))</f>
        <v>0.84961767204757854</v>
      </c>
      <c r="U190" s="24">
        <f>IF(Tabell2[[#This Row],[Inntekt]]&lt;=K$434,K$434,IF(Tabell2[[#This Row],[Inntekt]]&gt;=K$435,K$435,Tabell2[[#This Row],[Inntekt]]))</f>
        <v>433020</v>
      </c>
      <c r="V190" s="7">
        <f>IF(Tabell2[[#This Row],[NIBR11-T]]&lt;=L$437,100,IF(Tabell2[[#This Row],[NIBR11-T]]&gt;=L$436,0,100*(L$436-Tabell2[[#This Row],[NIBR11-T]])/L$439))</f>
        <v>90</v>
      </c>
      <c r="W190" s="7">
        <f>(M$436-Tabell2[[#This Row],[ReisetidOslo-T]])*100/M$439</f>
        <v>32.419744058493208</v>
      </c>
      <c r="X190" s="7">
        <f>100-(N$436-Tabell2[[#This Row],[Beftettland-T]])*100/N$439</f>
        <v>46.177505548057695</v>
      </c>
      <c r="Y190" s="7">
        <f>100-(O$436-Tabell2[[#This Row],[Beftettotal-T]])*100/O$439</f>
        <v>42.726439925420529</v>
      </c>
      <c r="Z190" s="7">
        <f>100-(P$436-Tabell2[[#This Row],[Befvekst10-T]])*100/P$439</f>
        <v>100</v>
      </c>
      <c r="AA190" s="7">
        <f>100-(Q$436-Tabell2[[#This Row],[Kvinneandel-T]])*100/Q$439</f>
        <v>100</v>
      </c>
      <c r="AB190" s="7">
        <f>(R$436-Tabell2[[#This Row],[Eldreandel-T]])*100/R$439</f>
        <v>98.987702011374822</v>
      </c>
      <c r="AC190" s="7">
        <f>100-(S$436-Tabell2[[#This Row],[Sysselsettingsvekst10-T]])*100/S$439</f>
        <v>84.678964213752479</v>
      </c>
      <c r="AD190" s="7">
        <f>100-(T$436-Tabell2[[#This Row],[Yrkesaktivandel-T]])*100/T$439</f>
        <v>35.781957796855238</v>
      </c>
      <c r="AE190" s="7">
        <f>100-(U$436-Tabell2[[#This Row],[Inntekt-T]])*100/U$439</f>
        <v>100</v>
      </c>
      <c r="AF190" s="7">
        <v>18</v>
      </c>
      <c r="AG190" s="7">
        <v>3.2419744058493212</v>
      </c>
      <c r="AH190" s="7">
        <v>4.2726439925420534</v>
      </c>
      <c r="AI190" s="7">
        <v>20</v>
      </c>
      <c r="AJ190" s="7">
        <v>5</v>
      </c>
      <c r="AK190" s="7">
        <v>4.9493851005687413</v>
      </c>
      <c r="AL190" s="7">
        <v>8.467896421375249</v>
      </c>
      <c r="AM190" s="7">
        <v>3.5781957796855242</v>
      </c>
      <c r="AN190" s="7">
        <v>10</v>
      </c>
      <c r="AO19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77.510095700020898</v>
      </c>
    </row>
    <row r="191" spans="1:41" x14ac:dyDescent="0.3">
      <c r="A191" s="2" t="s">
        <v>188</v>
      </c>
      <c r="B191">
        <f>'Rådata-K'!N190</f>
        <v>11</v>
      </c>
      <c r="C191" s="7">
        <f>'Rådata-K'!M190</f>
        <v>248.9</v>
      </c>
      <c r="D191" s="24">
        <f>'Rådata-K'!O190</f>
        <v>2.815409144679319</v>
      </c>
      <c r="E191" s="24">
        <f>'Rådata-K'!P190</f>
        <v>2.5137304604985213</v>
      </c>
      <c r="F191" s="24">
        <f>'Rådata-K'!Q190</f>
        <v>5.1413881748072487E-3</v>
      </c>
      <c r="G191" s="24">
        <f>'Rådata-K'!R190</f>
        <v>0.10230179028132992</v>
      </c>
      <c r="H191" s="24">
        <f>'Rådata-K'!S190</f>
        <v>0.16331750091340885</v>
      </c>
      <c r="I191" s="24">
        <f>'Rådata-K'!T190</f>
        <v>-0.13369713506139158</v>
      </c>
      <c r="J191" s="24">
        <f>'Rådata-K'!U190</f>
        <v>0.94425326909841711</v>
      </c>
      <c r="K191" s="24">
        <f>'Rådata-K'!L190</f>
        <v>437900</v>
      </c>
      <c r="L191" s="24">
        <f>Tabell2[[#This Row],[NIBR11]]</f>
        <v>11</v>
      </c>
      <c r="M191" s="24">
        <f>IF(Tabell2[[#This Row],[ReisetidOslo]]&lt;=C$434,C$434,IF(Tabell2[[#This Row],[ReisetidOslo]]&gt;=C$435,C$435,Tabell2[[#This Row],[ReisetidOslo]]))</f>
        <v>248.9</v>
      </c>
      <c r="N191" s="24">
        <f>IF(Tabell2[[#This Row],[Beftettland]]&lt;=D$434,D$434,IF(Tabell2[[#This Row],[Beftettland]]&gt;=D$435,D$435,Tabell2[[#This Row],[Beftettland]]))</f>
        <v>2.815409144679319</v>
      </c>
      <c r="O191" s="24">
        <f>IF(Tabell2[[#This Row],[Beftettotal]]&lt;=E$434,E$434,IF(Tabell2[[#This Row],[Beftettotal]]&gt;=E$435,E$435,Tabell2[[#This Row],[Beftettotal]]))</f>
        <v>2.5137304604985213</v>
      </c>
      <c r="P191" s="24">
        <f>IF(Tabell2[[#This Row],[Befvekst10]]&lt;=F$434,F$434,IF(Tabell2[[#This Row],[Befvekst10]]&gt;=F$435,F$435,Tabell2[[#This Row],[Befvekst10]]))</f>
        <v>5.1413881748072487E-3</v>
      </c>
      <c r="Q191" s="24">
        <f>IF(Tabell2[[#This Row],[Kvinneandel]]&lt;=G$434,G$434,IF(Tabell2[[#This Row],[Kvinneandel]]&gt;=G$435,G$435,Tabell2[[#This Row],[Kvinneandel]]))</f>
        <v>0.10230179028132992</v>
      </c>
      <c r="R191" s="24">
        <f>IF(Tabell2[[#This Row],[Eldreandel]]&lt;=H$434,H$434,IF(Tabell2[[#This Row],[Eldreandel]]&gt;=H$435,H$435,Tabell2[[#This Row],[Eldreandel]]))</f>
        <v>0.16331750091340885</v>
      </c>
      <c r="S191" s="24">
        <f>IF(Tabell2[[#This Row],[Sysselsettingsvekst10]]&lt;=I$434,I$434,IF(Tabell2[[#This Row],[Sysselsettingsvekst10]]&gt;=I$435,I$435,Tabell2[[#This Row],[Sysselsettingsvekst10]]))</f>
        <v>-9.2570207570207563E-2</v>
      </c>
      <c r="T191" s="24">
        <f>IF(Tabell2[[#This Row],[Yrkesaktivandel]]&lt;=J$434,J$434,IF(Tabell2[[#This Row],[Yrkesaktivandel]]&gt;=J$435,J$435,Tabell2[[#This Row],[Yrkesaktivandel]]))</f>
        <v>0.94066914614326791</v>
      </c>
      <c r="U191" s="24">
        <f>IF(Tabell2[[#This Row],[Inntekt]]&lt;=K$434,K$434,IF(Tabell2[[#This Row],[Inntekt]]&gt;=K$435,K$435,Tabell2[[#This Row],[Inntekt]]))</f>
        <v>433020</v>
      </c>
      <c r="V191" s="7">
        <f>IF(Tabell2[[#This Row],[NIBR11-T]]&lt;=L$437,100,IF(Tabell2[[#This Row],[NIBR11-T]]&gt;=L$436,0,100*(L$436-Tabell2[[#This Row],[NIBR11-T]])/L$439))</f>
        <v>0</v>
      </c>
      <c r="W191" s="7">
        <f>(M$436-Tabell2[[#This Row],[ReisetidOslo-T]])*100/M$439</f>
        <v>13.845703839131309</v>
      </c>
      <c r="X191" s="7">
        <f>100-(N$436-Tabell2[[#This Row],[Beftettland-T]])*100/N$439</f>
        <v>1.0451028387214194</v>
      </c>
      <c r="Y191" s="7">
        <f>100-(O$436-Tabell2[[#This Row],[Beftettotal-T]])*100/O$439</f>
        <v>0.9152097738868008</v>
      </c>
      <c r="Z191" s="7">
        <f>100-(P$436-Tabell2[[#This Row],[Befvekst10-T]])*100/P$439</f>
        <v>30.844512724348689</v>
      </c>
      <c r="AA191" s="7">
        <f>100-(Q$436-Tabell2[[#This Row],[Kvinneandel-T]])*100/Q$439</f>
        <v>33.573664945305822</v>
      </c>
      <c r="AB191" s="7">
        <f>(R$436-Tabell2[[#This Row],[Eldreandel-T]])*100/R$439</f>
        <v>61.529893364966817</v>
      </c>
      <c r="AC191" s="7">
        <f>100-(S$436-Tabell2[[#This Row],[Sysselsettingsvekst10-T]])*100/S$439</f>
        <v>0</v>
      </c>
      <c r="AD191" s="7">
        <f>100-(T$436-Tabell2[[#This Row],[Yrkesaktivandel-T]])*100/T$439</f>
        <v>100</v>
      </c>
      <c r="AE191" s="7">
        <f>100-(U$436-Tabell2[[#This Row],[Inntekt-T]])*100/U$439</f>
        <v>100</v>
      </c>
      <c r="AF191" s="7">
        <v>0</v>
      </c>
      <c r="AG191" s="7">
        <v>1.3845703839131309</v>
      </c>
      <c r="AH191" s="7">
        <v>9.1520977388680091E-2</v>
      </c>
      <c r="AI191" s="7">
        <v>6.1689025448697379</v>
      </c>
      <c r="AJ191" s="7">
        <v>1.6786832472652913</v>
      </c>
      <c r="AK191" s="7">
        <v>3.0764946682483409</v>
      </c>
      <c r="AL191" s="7">
        <v>0</v>
      </c>
      <c r="AM191" s="7">
        <v>10</v>
      </c>
      <c r="AN191" s="7">
        <v>10</v>
      </c>
      <c r="AO19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32.400171821685177</v>
      </c>
    </row>
    <row r="192" spans="1:41" x14ac:dyDescent="0.3">
      <c r="A192" s="2" t="s">
        <v>189</v>
      </c>
      <c r="B192">
        <f>'Rådata-K'!N191</f>
        <v>10</v>
      </c>
      <c r="C192" s="7">
        <f>'Rådata-K'!M191</f>
        <v>238.03333333329999</v>
      </c>
      <c r="D192" s="24">
        <f>'Rådata-K'!O191</f>
        <v>2.4614356167148062</v>
      </c>
      <c r="E192" s="24">
        <f>'Rådata-K'!P191</f>
        <v>2.2471327898300397</v>
      </c>
      <c r="F192" s="24">
        <f>'Rådata-K'!Q191</f>
        <v>5.1506567087302724E-3</v>
      </c>
      <c r="G192" s="24">
        <f>'Rådata-K'!R191</f>
        <v>0.11068408916218293</v>
      </c>
      <c r="H192" s="24">
        <f>'Rådata-K'!S191</f>
        <v>0.17038175762234178</v>
      </c>
      <c r="I192" s="24">
        <f>'Rådata-K'!T191</f>
        <v>0.13565488565488559</v>
      </c>
      <c r="J192" s="24">
        <f>'Rådata-K'!U191</f>
        <v>0.96084905660377362</v>
      </c>
      <c r="K192" s="24">
        <f>'Rådata-K'!L191</f>
        <v>397900</v>
      </c>
      <c r="L192" s="24">
        <f>Tabell2[[#This Row],[NIBR11]]</f>
        <v>10</v>
      </c>
      <c r="M192" s="24">
        <f>IF(Tabell2[[#This Row],[ReisetidOslo]]&lt;=C$434,C$434,IF(Tabell2[[#This Row],[ReisetidOslo]]&gt;=C$435,C$435,Tabell2[[#This Row],[ReisetidOslo]]))</f>
        <v>238.03333333329999</v>
      </c>
      <c r="N192" s="24">
        <f>IF(Tabell2[[#This Row],[Beftettland]]&lt;=D$434,D$434,IF(Tabell2[[#This Row],[Beftettland]]&gt;=D$435,D$435,Tabell2[[#This Row],[Beftettland]]))</f>
        <v>2.4614356167148062</v>
      </c>
      <c r="O192" s="24">
        <f>IF(Tabell2[[#This Row],[Beftettotal]]&lt;=E$434,E$434,IF(Tabell2[[#This Row],[Beftettotal]]&gt;=E$435,E$435,Tabell2[[#This Row],[Beftettotal]]))</f>
        <v>2.2471327898300397</v>
      </c>
      <c r="P192" s="24">
        <f>IF(Tabell2[[#This Row],[Befvekst10]]&lt;=F$434,F$434,IF(Tabell2[[#This Row],[Befvekst10]]&gt;=F$435,F$435,Tabell2[[#This Row],[Befvekst10]]))</f>
        <v>5.1506567087302724E-3</v>
      </c>
      <c r="Q192" s="24">
        <f>IF(Tabell2[[#This Row],[Kvinneandel]]&lt;=G$434,G$434,IF(Tabell2[[#This Row],[Kvinneandel]]&gt;=G$435,G$435,Tabell2[[#This Row],[Kvinneandel]]))</f>
        <v>0.11068408916218293</v>
      </c>
      <c r="R192" s="24">
        <f>IF(Tabell2[[#This Row],[Eldreandel]]&lt;=H$434,H$434,IF(Tabell2[[#This Row],[Eldreandel]]&gt;=H$435,H$435,Tabell2[[#This Row],[Eldreandel]]))</f>
        <v>0.17038175762234178</v>
      </c>
      <c r="S192" s="24">
        <f>IF(Tabell2[[#This Row],[Sysselsettingsvekst10]]&lt;=I$434,I$434,IF(Tabell2[[#This Row],[Sysselsettingsvekst10]]&gt;=I$435,I$435,Tabell2[[#This Row],[Sysselsettingsvekst10]]))</f>
        <v>0.13565488565488559</v>
      </c>
      <c r="T192" s="24">
        <f>IF(Tabell2[[#This Row],[Yrkesaktivandel]]&lt;=J$434,J$434,IF(Tabell2[[#This Row],[Yrkesaktivandel]]&gt;=J$435,J$435,Tabell2[[#This Row],[Yrkesaktivandel]]))</f>
        <v>0.94066914614326791</v>
      </c>
      <c r="U192" s="24">
        <f>IF(Tabell2[[#This Row],[Inntekt]]&lt;=K$434,K$434,IF(Tabell2[[#This Row],[Inntekt]]&gt;=K$435,K$435,Tabell2[[#This Row],[Inntekt]]))</f>
        <v>397900</v>
      </c>
      <c r="V192" s="7">
        <f>IF(Tabell2[[#This Row],[NIBR11-T]]&lt;=L$437,100,IF(Tabell2[[#This Row],[NIBR11-T]]&gt;=L$436,0,100*(L$436-Tabell2[[#This Row],[NIBR11-T]])/L$439))</f>
        <v>10</v>
      </c>
      <c r="W192" s="7">
        <f>(M$436-Tabell2[[#This Row],[ReisetidOslo-T]])*100/M$439</f>
        <v>18.61352833640322</v>
      </c>
      <c r="X192" s="7">
        <f>100-(N$436-Tabell2[[#This Row],[Beftettland-T]])*100/N$439</f>
        <v>0.7832672948389785</v>
      </c>
      <c r="Y192" s="7">
        <f>100-(O$436-Tabell2[[#This Row],[Beftettotal-T]])*100/O$439</f>
        <v>0.71114563529442876</v>
      </c>
      <c r="Z192" s="7">
        <f>100-(P$436-Tabell2[[#This Row],[Befvekst10-T]])*100/P$439</f>
        <v>30.84826426588738</v>
      </c>
      <c r="AA192" s="7">
        <f>100-(Q$436-Tabell2[[#This Row],[Kvinneandel-T]])*100/Q$439</f>
        <v>55.594410640221071</v>
      </c>
      <c r="AB192" s="7">
        <f>(R$436-Tabell2[[#This Row],[Eldreandel-T]])*100/R$439</f>
        <v>53.905760164294925</v>
      </c>
      <c r="AC192" s="7">
        <f>100-(S$436-Tabell2[[#This Row],[Sysselsettingsvekst10-T]])*100/S$439</f>
        <v>74.481556058443374</v>
      </c>
      <c r="AD192" s="7">
        <f>100-(T$436-Tabell2[[#This Row],[Yrkesaktivandel-T]])*100/T$439</f>
        <v>100</v>
      </c>
      <c r="AE192" s="7">
        <f>100-(U$436-Tabell2[[#This Row],[Inntekt-T]])*100/U$439</f>
        <v>60.365647218146933</v>
      </c>
      <c r="AF192" s="7">
        <v>2</v>
      </c>
      <c r="AG192" s="7">
        <v>1.8613528336403222</v>
      </c>
      <c r="AH192" s="7">
        <v>7.1114563529442884E-2</v>
      </c>
      <c r="AI192" s="7">
        <v>6.1696528531774764</v>
      </c>
      <c r="AJ192" s="7">
        <v>2.7797205320110536</v>
      </c>
      <c r="AK192" s="7">
        <v>2.6952880082147463</v>
      </c>
      <c r="AL192" s="7">
        <v>7.4481556058443381</v>
      </c>
      <c r="AM192" s="7">
        <v>10</v>
      </c>
      <c r="AN192" s="7">
        <v>6.0365647218146936</v>
      </c>
      <c r="AO19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39.061849118232068</v>
      </c>
    </row>
    <row r="193" spans="1:41" x14ac:dyDescent="0.3">
      <c r="A193" s="2" t="s">
        <v>190</v>
      </c>
      <c r="B193">
        <f>'Rådata-K'!N192</f>
        <v>9</v>
      </c>
      <c r="C193" s="7">
        <f>'Rådata-K'!M192</f>
        <v>250.08333333299998</v>
      </c>
      <c r="D193" s="24">
        <f>'Rådata-K'!O192</f>
        <v>9.2645410019866645</v>
      </c>
      <c r="E193" s="24">
        <f>'Rådata-K'!P192</f>
        <v>8.6214786476542624</v>
      </c>
      <c r="F193" s="24">
        <f>'Rådata-K'!Q192</f>
        <v>-1.2371566366114473E-2</v>
      </c>
      <c r="G193" s="24">
        <f>'Rådata-K'!R192</f>
        <v>0.11061571125265393</v>
      </c>
      <c r="H193" s="24">
        <f>'Rådata-K'!S192</f>
        <v>0.18683651804670912</v>
      </c>
      <c r="I193" s="24">
        <f>'Rådata-K'!T192</f>
        <v>-1.3013013013013053E-2</v>
      </c>
      <c r="J193" s="24">
        <f>'Rådata-K'!U192</f>
        <v>0.86396637371035534</v>
      </c>
      <c r="K193" s="24">
        <f>'Rådata-K'!L192</f>
        <v>402000</v>
      </c>
      <c r="L193" s="24">
        <f>Tabell2[[#This Row],[NIBR11]]</f>
        <v>9</v>
      </c>
      <c r="M193" s="24">
        <f>IF(Tabell2[[#This Row],[ReisetidOslo]]&lt;=C$434,C$434,IF(Tabell2[[#This Row],[ReisetidOslo]]&gt;=C$435,C$435,Tabell2[[#This Row],[ReisetidOslo]]))</f>
        <v>250.08333333299998</v>
      </c>
      <c r="N193" s="24">
        <f>IF(Tabell2[[#This Row],[Beftettland]]&lt;=D$434,D$434,IF(Tabell2[[#This Row],[Beftettland]]&gt;=D$435,D$435,Tabell2[[#This Row],[Beftettland]]))</f>
        <v>9.2645410019866645</v>
      </c>
      <c r="O193" s="24">
        <f>IF(Tabell2[[#This Row],[Beftettotal]]&lt;=E$434,E$434,IF(Tabell2[[#This Row],[Beftettotal]]&gt;=E$435,E$435,Tabell2[[#This Row],[Beftettotal]]))</f>
        <v>8.6214786476542624</v>
      </c>
      <c r="P193" s="24">
        <f>IF(Tabell2[[#This Row],[Befvekst10]]&lt;=F$434,F$434,IF(Tabell2[[#This Row],[Befvekst10]]&gt;=F$435,F$435,Tabell2[[#This Row],[Befvekst10]]))</f>
        <v>-1.2371566366114473E-2</v>
      </c>
      <c r="Q193" s="24">
        <f>IF(Tabell2[[#This Row],[Kvinneandel]]&lt;=G$434,G$434,IF(Tabell2[[#This Row],[Kvinneandel]]&gt;=G$435,G$435,Tabell2[[#This Row],[Kvinneandel]]))</f>
        <v>0.11061571125265393</v>
      </c>
      <c r="R193" s="24">
        <f>IF(Tabell2[[#This Row],[Eldreandel]]&lt;=H$434,H$434,IF(Tabell2[[#This Row],[Eldreandel]]&gt;=H$435,H$435,Tabell2[[#This Row],[Eldreandel]]))</f>
        <v>0.18683651804670912</v>
      </c>
      <c r="S193" s="24">
        <f>IF(Tabell2[[#This Row],[Sysselsettingsvekst10]]&lt;=I$434,I$434,IF(Tabell2[[#This Row],[Sysselsettingsvekst10]]&gt;=I$435,I$435,Tabell2[[#This Row],[Sysselsettingsvekst10]]))</f>
        <v>-1.3013013013013053E-2</v>
      </c>
      <c r="T193" s="24">
        <f>IF(Tabell2[[#This Row],[Yrkesaktivandel]]&lt;=J$434,J$434,IF(Tabell2[[#This Row],[Yrkesaktivandel]]&gt;=J$435,J$435,Tabell2[[#This Row],[Yrkesaktivandel]]))</f>
        <v>0.86396637371035534</v>
      </c>
      <c r="U193" s="24">
        <f>IF(Tabell2[[#This Row],[Inntekt]]&lt;=K$434,K$434,IF(Tabell2[[#This Row],[Inntekt]]&gt;=K$435,K$435,Tabell2[[#This Row],[Inntekt]]))</f>
        <v>402000</v>
      </c>
      <c r="V193" s="7">
        <f>IF(Tabell2[[#This Row],[NIBR11-T]]&lt;=L$437,100,IF(Tabell2[[#This Row],[NIBR11-T]]&gt;=L$436,0,100*(L$436-Tabell2[[#This Row],[NIBR11-T]])/L$439))</f>
        <v>20</v>
      </c>
      <c r="W193" s="7">
        <f>(M$436-Tabell2[[#This Row],[ReisetidOslo-T]])*100/M$439</f>
        <v>13.326508226846178</v>
      </c>
      <c r="X193" s="7">
        <f>100-(N$436-Tabell2[[#This Row],[Beftettland-T]])*100/N$439</f>
        <v>5.8155498185785746</v>
      </c>
      <c r="Y193" s="7">
        <f>100-(O$436-Tabell2[[#This Row],[Beftettotal-T]])*100/O$439</f>
        <v>5.5903157844748534</v>
      </c>
      <c r="Z193" s="7">
        <f>100-(P$436-Tabell2[[#This Row],[Befvekst10-T]])*100/P$439</f>
        <v>23.755950825470592</v>
      </c>
      <c r="AA193" s="7">
        <f>100-(Q$436-Tabell2[[#This Row],[Kvinneandel-T]])*100/Q$439</f>
        <v>55.414778229316767</v>
      </c>
      <c r="AB193" s="7">
        <f>(R$436-Tabell2[[#This Row],[Eldreandel-T]])*100/R$439</f>
        <v>36.146880436455753</v>
      </c>
      <c r="AC193" s="7">
        <f>100-(S$436-Tabell2[[#This Row],[Sysselsettingsvekst10-T]])*100/S$439</f>
        <v>25.963593934957629</v>
      </c>
      <c r="AD193" s="7">
        <f>100-(T$436-Tabell2[[#This Row],[Yrkesaktivandel-T]])*100/T$439</f>
        <v>45.902008439551615</v>
      </c>
      <c r="AE193" s="7">
        <f>100-(U$436-Tabell2[[#This Row],[Inntekt-T]])*100/U$439</f>
        <v>64.99266448482112</v>
      </c>
      <c r="AF193" s="7">
        <v>4</v>
      </c>
      <c r="AG193" s="7">
        <v>1.3326508226846179</v>
      </c>
      <c r="AH193" s="7">
        <v>0.55903157844748541</v>
      </c>
      <c r="AI193" s="7">
        <v>4.7511901650941182</v>
      </c>
      <c r="AJ193" s="7">
        <v>2.7707389114658385</v>
      </c>
      <c r="AK193" s="7">
        <v>1.8073440218227876</v>
      </c>
      <c r="AL193" s="7">
        <v>2.5963593934957632</v>
      </c>
      <c r="AM193" s="7">
        <v>4.590200843955162</v>
      </c>
      <c r="AN193" s="7">
        <v>6.4992664484821123</v>
      </c>
      <c r="AO19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28.906782185447888</v>
      </c>
    </row>
    <row r="194" spans="1:41" x14ac:dyDescent="0.3">
      <c r="A194" s="2" t="s">
        <v>191</v>
      </c>
      <c r="B194">
        <f>'Rådata-K'!N193</f>
        <v>2</v>
      </c>
      <c r="C194" s="7">
        <f>'Rådata-K'!M193</f>
        <v>193.15</v>
      </c>
      <c r="D194" s="24">
        <f>'Rådata-K'!O193</f>
        <v>31.302235179786198</v>
      </c>
      <c r="E194" s="24">
        <f>'Rådata-K'!P193</f>
        <v>30.849535485106788</v>
      </c>
      <c r="F194" s="24">
        <f>'Rådata-K'!Q193</f>
        <v>0.18028581898131191</v>
      </c>
      <c r="G194" s="24">
        <f>'Rådata-K'!R193</f>
        <v>0.12387457311393978</v>
      </c>
      <c r="H194" s="24">
        <f>'Rådata-K'!S193</f>
        <v>0.14778019248680535</v>
      </c>
      <c r="I194" s="24">
        <f>'Rådata-K'!T193</f>
        <v>0.12153344208809136</v>
      </c>
      <c r="J194" s="24">
        <f>'Rådata-K'!U193</f>
        <v>0.95180722891566261</v>
      </c>
      <c r="K194" s="24">
        <f>'Rådata-K'!L193</f>
        <v>448300</v>
      </c>
      <c r="L194" s="24">
        <f>Tabell2[[#This Row],[NIBR11]]</f>
        <v>2</v>
      </c>
      <c r="M194" s="24">
        <f>IF(Tabell2[[#This Row],[ReisetidOslo]]&lt;=C$434,C$434,IF(Tabell2[[#This Row],[ReisetidOslo]]&gt;=C$435,C$435,Tabell2[[#This Row],[ReisetidOslo]]))</f>
        <v>193.15</v>
      </c>
      <c r="N194" s="24">
        <f>IF(Tabell2[[#This Row],[Beftettland]]&lt;=D$434,D$434,IF(Tabell2[[#This Row],[Beftettland]]&gt;=D$435,D$435,Tabell2[[#This Row],[Beftettland]]))</f>
        <v>31.302235179786198</v>
      </c>
      <c r="O194" s="24">
        <f>IF(Tabell2[[#This Row],[Beftettotal]]&lt;=E$434,E$434,IF(Tabell2[[#This Row],[Beftettotal]]&gt;=E$435,E$435,Tabell2[[#This Row],[Beftettotal]]))</f>
        <v>30.849535485106788</v>
      </c>
      <c r="P194" s="24">
        <f>IF(Tabell2[[#This Row],[Befvekst10]]&lt;=F$434,F$434,IF(Tabell2[[#This Row],[Befvekst10]]&gt;=F$435,F$435,Tabell2[[#This Row],[Befvekst10]]))</f>
        <v>0.17599648151968622</v>
      </c>
      <c r="Q194" s="24">
        <f>IF(Tabell2[[#This Row],[Kvinneandel]]&lt;=G$434,G$434,IF(Tabell2[[#This Row],[Kvinneandel]]&gt;=G$435,G$435,Tabell2[[#This Row],[Kvinneandel]]))</f>
        <v>0.12387457311393978</v>
      </c>
      <c r="R194" s="24">
        <f>IF(Tabell2[[#This Row],[Eldreandel]]&lt;=H$434,H$434,IF(Tabell2[[#This Row],[Eldreandel]]&gt;=H$435,H$435,Tabell2[[#This Row],[Eldreandel]]))</f>
        <v>0.14778019248680535</v>
      </c>
      <c r="S194" s="24">
        <f>IF(Tabell2[[#This Row],[Sysselsettingsvekst10]]&lt;=I$434,I$434,IF(Tabell2[[#This Row],[Sysselsettingsvekst10]]&gt;=I$435,I$435,Tabell2[[#This Row],[Sysselsettingsvekst10]]))</f>
        <v>0.12153344208809136</v>
      </c>
      <c r="T194" s="24">
        <f>IF(Tabell2[[#This Row],[Yrkesaktivandel]]&lt;=J$434,J$434,IF(Tabell2[[#This Row],[Yrkesaktivandel]]&gt;=J$435,J$435,Tabell2[[#This Row],[Yrkesaktivandel]]))</f>
        <v>0.94066914614326791</v>
      </c>
      <c r="U194" s="24">
        <f>IF(Tabell2[[#This Row],[Inntekt]]&lt;=K$434,K$434,IF(Tabell2[[#This Row],[Inntekt]]&gt;=K$435,K$435,Tabell2[[#This Row],[Inntekt]]))</f>
        <v>433020</v>
      </c>
      <c r="V194" s="7">
        <f>IF(Tabell2[[#This Row],[NIBR11-T]]&lt;=L$437,100,IF(Tabell2[[#This Row],[NIBR11-T]]&gt;=L$436,0,100*(L$436-Tabell2[[#This Row],[NIBR11-T]])/L$439))</f>
        <v>90</v>
      </c>
      <c r="W194" s="7">
        <f>(M$436-Tabell2[[#This Row],[ReisetidOslo-T]])*100/M$439</f>
        <v>38.30639853748346</v>
      </c>
      <c r="X194" s="7">
        <f>100-(N$436-Tabell2[[#This Row],[Beftettland-T]])*100/N$439</f>
        <v>22.116914709169137</v>
      </c>
      <c r="Y194" s="7">
        <f>100-(O$436-Tabell2[[#This Row],[Beftettotal-T]])*100/O$439</f>
        <v>22.604527723172993</v>
      </c>
      <c r="Z194" s="7">
        <f>100-(P$436-Tabell2[[#This Row],[Befvekst10-T]])*100/P$439</f>
        <v>100</v>
      </c>
      <c r="AA194" s="7">
        <f>100-(Q$436-Tabell2[[#This Row],[Kvinneandel-T]])*100/Q$439</f>
        <v>90.246514654071206</v>
      </c>
      <c r="AB194" s="7">
        <f>(R$436-Tabell2[[#This Row],[Eldreandel-T]])*100/R$439</f>
        <v>78.298608589394192</v>
      </c>
      <c r="AC194" s="7">
        <f>100-(S$436-Tabell2[[#This Row],[Sysselsettingsvekst10-T]])*100/S$439</f>
        <v>69.873004580675001</v>
      </c>
      <c r="AD194" s="7">
        <f>100-(T$436-Tabell2[[#This Row],[Yrkesaktivandel-T]])*100/T$439</f>
        <v>100</v>
      </c>
      <c r="AE194" s="7">
        <f>100-(U$436-Tabell2[[#This Row],[Inntekt-T]])*100/U$439</f>
        <v>100</v>
      </c>
      <c r="AF194" s="7">
        <v>18</v>
      </c>
      <c r="AG194" s="7">
        <v>3.8306398537483464</v>
      </c>
      <c r="AH194" s="7">
        <v>2.2604527723172994</v>
      </c>
      <c r="AI194" s="7">
        <v>20</v>
      </c>
      <c r="AJ194" s="7">
        <v>4.5123257327035606</v>
      </c>
      <c r="AK194" s="7">
        <v>3.9149304294697096</v>
      </c>
      <c r="AL194" s="7">
        <v>6.9873004580675007</v>
      </c>
      <c r="AM194" s="7">
        <v>10</v>
      </c>
      <c r="AN194" s="7">
        <v>10</v>
      </c>
      <c r="AO19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79.505649246306405</v>
      </c>
    </row>
    <row r="195" spans="1:41" x14ac:dyDescent="0.3">
      <c r="A195" s="2" t="s">
        <v>192</v>
      </c>
      <c r="B195">
        <f>'Rådata-K'!N194</f>
        <v>2</v>
      </c>
      <c r="C195" s="7">
        <f>'Rådata-K'!M194</f>
        <v>180.8</v>
      </c>
      <c r="D195" s="24">
        <f>'Rådata-K'!O194</f>
        <v>74.82280431432973</v>
      </c>
      <c r="E195" s="24">
        <f>'Rådata-K'!P194</f>
        <v>74.126087620210654</v>
      </c>
      <c r="F195" s="24">
        <f>'Rådata-K'!Q194</f>
        <v>0.42321219226260265</v>
      </c>
      <c r="G195" s="24">
        <f>'Rådata-K'!R194</f>
        <v>0.12417627677100494</v>
      </c>
      <c r="H195" s="24">
        <f>'Rådata-K'!S194</f>
        <v>9.9464579901153219E-2</v>
      </c>
      <c r="I195" s="24">
        <f>'Rådata-K'!T194</f>
        <v>0.12476722532588447</v>
      </c>
      <c r="J195" s="24">
        <f>'Rådata-K'!U194</f>
        <v>0.91536827195467418</v>
      </c>
      <c r="K195" s="24">
        <f>'Rådata-K'!L194</f>
        <v>524800</v>
      </c>
      <c r="L195" s="24">
        <f>Tabell2[[#This Row],[NIBR11]]</f>
        <v>2</v>
      </c>
      <c r="M195" s="24">
        <f>IF(Tabell2[[#This Row],[ReisetidOslo]]&lt;=C$434,C$434,IF(Tabell2[[#This Row],[ReisetidOslo]]&gt;=C$435,C$435,Tabell2[[#This Row],[ReisetidOslo]]))</f>
        <v>180.8</v>
      </c>
      <c r="N195" s="24">
        <f>IF(Tabell2[[#This Row],[Beftettland]]&lt;=D$434,D$434,IF(Tabell2[[#This Row],[Beftettland]]&gt;=D$435,D$435,Tabell2[[#This Row],[Beftettland]]))</f>
        <v>74.82280431432973</v>
      </c>
      <c r="O195" s="24">
        <f>IF(Tabell2[[#This Row],[Beftettotal]]&lt;=E$434,E$434,IF(Tabell2[[#This Row],[Beftettotal]]&gt;=E$435,E$435,Tabell2[[#This Row],[Beftettotal]]))</f>
        <v>74.126087620210654</v>
      </c>
      <c r="P195" s="24">
        <f>IF(Tabell2[[#This Row],[Befvekst10]]&lt;=F$434,F$434,IF(Tabell2[[#This Row],[Befvekst10]]&gt;=F$435,F$435,Tabell2[[#This Row],[Befvekst10]]))</f>
        <v>0.17599648151968622</v>
      </c>
      <c r="Q195" s="24">
        <f>IF(Tabell2[[#This Row],[Kvinneandel]]&lt;=G$434,G$434,IF(Tabell2[[#This Row],[Kvinneandel]]&gt;=G$435,G$435,Tabell2[[#This Row],[Kvinneandel]]))</f>
        <v>0.12417627677100494</v>
      </c>
      <c r="R195" s="24">
        <f>IF(Tabell2[[#This Row],[Eldreandel]]&lt;=H$434,H$434,IF(Tabell2[[#This Row],[Eldreandel]]&gt;=H$435,H$435,Tabell2[[#This Row],[Eldreandel]]))</f>
        <v>0.12767243783057225</v>
      </c>
      <c r="S195" s="24">
        <f>IF(Tabell2[[#This Row],[Sysselsettingsvekst10]]&lt;=I$434,I$434,IF(Tabell2[[#This Row],[Sysselsettingsvekst10]]&gt;=I$435,I$435,Tabell2[[#This Row],[Sysselsettingsvekst10]]))</f>
        <v>0.12476722532588447</v>
      </c>
      <c r="T195" s="24">
        <f>IF(Tabell2[[#This Row],[Yrkesaktivandel]]&lt;=J$434,J$434,IF(Tabell2[[#This Row],[Yrkesaktivandel]]&gt;=J$435,J$435,Tabell2[[#This Row],[Yrkesaktivandel]]))</f>
        <v>0.91536827195467418</v>
      </c>
      <c r="U195" s="24">
        <f>IF(Tabell2[[#This Row],[Inntekt]]&lt;=K$434,K$434,IF(Tabell2[[#This Row],[Inntekt]]&gt;=K$435,K$435,Tabell2[[#This Row],[Inntekt]]))</f>
        <v>433020</v>
      </c>
      <c r="V195" s="7">
        <f>IF(Tabell2[[#This Row],[NIBR11-T]]&lt;=L$437,100,IF(Tabell2[[#This Row],[NIBR11-T]]&gt;=L$436,0,100*(L$436-Tabell2[[#This Row],[NIBR11-T]])/L$439))</f>
        <v>90</v>
      </c>
      <c r="W195" s="7">
        <f>(M$436-Tabell2[[#This Row],[ReisetidOslo-T]])*100/M$439</f>
        <v>43.725045703844877</v>
      </c>
      <c r="X195" s="7">
        <f>100-(N$436-Tabell2[[#This Row],[Beftettland-T]])*100/N$439</f>
        <v>54.309242635339047</v>
      </c>
      <c r="Y195" s="7">
        <f>100-(O$436-Tabell2[[#This Row],[Beftettotal-T]])*100/O$439</f>
        <v>55.730069707668115</v>
      </c>
      <c r="Z195" s="7">
        <f>100-(P$436-Tabell2[[#This Row],[Befvekst10-T]])*100/P$439</f>
        <v>100</v>
      </c>
      <c r="AA195" s="7">
        <f>100-(Q$436-Tabell2[[#This Row],[Kvinneandel-T]])*100/Q$439</f>
        <v>91.039106233289857</v>
      </c>
      <c r="AB195" s="7">
        <f>(R$436-Tabell2[[#This Row],[Eldreandel-T]])*100/R$439</f>
        <v>100</v>
      </c>
      <c r="AC195" s="7">
        <f>100-(S$436-Tabell2[[#This Row],[Sysselsettingsvekst10-T]])*100/S$439</f>
        <v>70.928353946964833</v>
      </c>
      <c r="AD195" s="7">
        <f>100-(T$436-Tabell2[[#This Row],[Yrkesaktivandel-T]])*100/T$439</f>
        <v>82.155449732620099</v>
      </c>
      <c r="AE195" s="7">
        <f>100-(U$436-Tabell2[[#This Row],[Inntekt-T]])*100/U$439</f>
        <v>100</v>
      </c>
      <c r="AF195" s="7">
        <v>18</v>
      </c>
      <c r="AG195" s="7">
        <v>4.3725045703844883</v>
      </c>
      <c r="AH195" s="7">
        <v>5.5730069707668122</v>
      </c>
      <c r="AI195" s="7">
        <v>20</v>
      </c>
      <c r="AJ195" s="7">
        <v>4.5519553116644929</v>
      </c>
      <c r="AK195" s="7">
        <v>5</v>
      </c>
      <c r="AL195" s="7">
        <v>7.0928353946964835</v>
      </c>
      <c r="AM195" s="7">
        <v>8.2155449732620109</v>
      </c>
      <c r="AN195" s="7">
        <v>10</v>
      </c>
      <c r="AO19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82.805847220774297</v>
      </c>
    </row>
    <row r="196" spans="1:41" x14ac:dyDescent="0.3">
      <c r="A196" s="2" t="s">
        <v>193</v>
      </c>
      <c r="B196">
        <f>'Rådata-K'!N195</f>
        <v>2</v>
      </c>
      <c r="C196" s="7">
        <f>'Rådata-K'!M195</f>
        <v>224.55</v>
      </c>
      <c r="D196" s="24">
        <f>'Rådata-K'!O195</f>
        <v>83.439490445859875</v>
      </c>
      <c r="E196" s="24">
        <f>'Rådata-K'!P195</f>
        <v>83.306836248012715</v>
      </c>
      <c r="F196" s="24">
        <f>'Rådata-K'!Q195</f>
        <v>5.7581573896352545E-3</v>
      </c>
      <c r="G196" s="24">
        <f>'Rådata-K'!R195</f>
        <v>9.5419847328244281E-2</v>
      </c>
      <c r="H196" s="24">
        <f>'Rådata-K'!S195</f>
        <v>0.19465648854961831</v>
      </c>
      <c r="I196" s="24">
        <f>'Rådata-K'!T195</f>
        <v>0.18656716417910446</v>
      </c>
      <c r="J196" s="24">
        <f>'Rådata-K'!U195</f>
        <v>0.956989247311828</v>
      </c>
      <c r="K196" s="24">
        <f>'Rådata-K'!L195</f>
        <v>418500</v>
      </c>
      <c r="L196" s="24">
        <f>Tabell2[[#This Row],[NIBR11]]</f>
        <v>2</v>
      </c>
      <c r="M196" s="24">
        <f>IF(Tabell2[[#This Row],[ReisetidOslo]]&lt;=C$434,C$434,IF(Tabell2[[#This Row],[ReisetidOslo]]&gt;=C$435,C$435,Tabell2[[#This Row],[ReisetidOslo]]))</f>
        <v>224.55</v>
      </c>
      <c r="N196" s="24">
        <f>IF(Tabell2[[#This Row],[Beftettland]]&lt;=D$434,D$434,IF(Tabell2[[#This Row],[Beftettland]]&gt;=D$435,D$435,Tabell2[[#This Row],[Beftettland]]))</f>
        <v>83.439490445859875</v>
      </c>
      <c r="O196" s="24">
        <f>IF(Tabell2[[#This Row],[Beftettotal]]&lt;=E$434,E$434,IF(Tabell2[[#This Row],[Beftettotal]]&gt;=E$435,E$435,Tabell2[[#This Row],[Beftettotal]]))</f>
        <v>83.306836248012715</v>
      </c>
      <c r="P196" s="24">
        <f>IF(Tabell2[[#This Row],[Befvekst10]]&lt;=F$434,F$434,IF(Tabell2[[#This Row],[Befvekst10]]&gt;=F$435,F$435,Tabell2[[#This Row],[Befvekst10]]))</f>
        <v>5.7581573896352545E-3</v>
      </c>
      <c r="Q196" s="24">
        <f>IF(Tabell2[[#This Row],[Kvinneandel]]&lt;=G$434,G$434,IF(Tabell2[[#This Row],[Kvinneandel]]&gt;=G$435,G$435,Tabell2[[#This Row],[Kvinneandel]]))</f>
        <v>9.5419847328244281E-2</v>
      </c>
      <c r="R196" s="24">
        <f>IF(Tabell2[[#This Row],[Eldreandel]]&lt;=H$434,H$434,IF(Tabell2[[#This Row],[Eldreandel]]&gt;=H$435,H$435,Tabell2[[#This Row],[Eldreandel]]))</f>
        <v>0.19465648854961831</v>
      </c>
      <c r="S196" s="24">
        <f>IF(Tabell2[[#This Row],[Sysselsettingsvekst10]]&lt;=I$434,I$434,IF(Tabell2[[#This Row],[Sysselsettingsvekst10]]&gt;=I$435,I$435,Tabell2[[#This Row],[Sysselsettingsvekst10]]))</f>
        <v>0.18656716417910446</v>
      </c>
      <c r="T196" s="24">
        <f>IF(Tabell2[[#This Row],[Yrkesaktivandel]]&lt;=J$434,J$434,IF(Tabell2[[#This Row],[Yrkesaktivandel]]&gt;=J$435,J$435,Tabell2[[#This Row],[Yrkesaktivandel]]))</f>
        <v>0.94066914614326791</v>
      </c>
      <c r="U196" s="24">
        <f>IF(Tabell2[[#This Row],[Inntekt]]&lt;=K$434,K$434,IF(Tabell2[[#This Row],[Inntekt]]&gt;=K$435,K$435,Tabell2[[#This Row],[Inntekt]]))</f>
        <v>418500</v>
      </c>
      <c r="V196" s="7">
        <f>IF(Tabell2[[#This Row],[NIBR11-T]]&lt;=L$437,100,IF(Tabell2[[#This Row],[NIBR11-T]]&gt;=L$436,0,100*(L$436-Tabell2[[#This Row],[NIBR11-T]])/L$439))</f>
        <v>90</v>
      </c>
      <c r="W196" s="7">
        <f>(M$436-Tabell2[[#This Row],[ReisetidOslo-T]])*100/M$439</f>
        <v>24.529433272402606</v>
      </c>
      <c r="X196" s="7">
        <f>100-(N$436-Tabell2[[#This Row],[Beftettland-T]])*100/N$439</f>
        <v>60.683037626979569</v>
      </c>
      <c r="Y196" s="7">
        <f>100-(O$436-Tabell2[[#This Row],[Beftettotal-T]])*100/O$439</f>
        <v>62.757368767212832</v>
      </c>
      <c r="Z196" s="7">
        <f>100-(P$436-Tabell2[[#This Row],[Befvekst10-T]])*100/P$439</f>
        <v>31.094156880416989</v>
      </c>
      <c r="AA196" s="7">
        <f>100-(Q$436-Tabell2[[#This Row],[Kvinneandel-T]])*100/Q$439</f>
        <v>15.494434198359329</v>
      </c>
      <c r="AB196" s="7">
        <f>(R$436-Tabell2[[#This Row],[Eldreandel-T]])*100/R$439</f>
        <v>27.707139470627993</v>
      </c>
      <c r="AC196" s="7">
        <f>100-(S$436-Tabell2[[#This Row],[Sysselsettingsvekst10-T]])*100/S$439</f>
        <v>91.096844383573796</v>
      </c>
      <c r="AD196" s="7">
        <f>100-(T$436-Tabell2[[#This Row],[Yrkesaktivandel-T]])*100/T$439</f>
        <v>100</v>
      </c>
      <c r="AE196" s="7">
        <f>100-(U$436-Tabell2[[#This Row],[Inntekt-T]])*100/U$439</f>
        <v>83.613587631192871</v>
      </c>
      <c r="AF196" s="7">
        <v>18</v>
      </c>
      <c r="AG196" s="7">
        <v>2.452943327240261</v>
      </c>
      <c r="AH196" s="7">
        <v>6.2757368767212833</v>
      </c>
      <c r="AI196" s="7">
        <v>6.218831376083398</v>
      </c>
      <c r="AJ196" s="7">
        <v>0.77472170991796652</v>
      </c>
      <c r="AK196" s="7">
        <v>1.3853569735313997</v>
      </c>
      <c r="AL196" s="7">
        <v>9.1096844383573803</v>
      </c>
      <c r="AM196" s="7">
        <v>10</v>
      </c>
      <c r="AN196" s="7">
        <v>8.3613587631192878</v>
      </c>
      <c r="AO19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62.578633464970977</v>
      </c>
    </row>
    <row r="197" spans="1:41" x14ac:dyDescent="0.3">
      <c r="A197" s="2" t="s">
        <v>194</v>
      </c>
      <c r="B197">
        <f>'Rådata-K'!N196</f>
        <v>4</v>
      </c>
      <c r="C197" s="7">
        <f>'Rådata-K'!M196</f>
        <v>177.36666666669998</v>
      </c>
      <c r="D197" s="24">
        <f>'Rådata-K'!O196</f>
        <v>19.412028725314183</v>
      </c>
      <c r="E197" s="24">
        <f>'Rådata-K'!P196</f>
        <v>18.341815097540287</v>
      </c>
      <c r="F197" s="24">
        <f>'Rådata-K'!Q196</f>
        <v>0.12337662337662336</v>
      </c>
      <c r="G197" s="24">
        <f>'Rådata-K'!R196</f>
        <v>0.10751445086705202</v>
      </c>
      <c r="H197" s="24">
        <f>'Rådata-K'!S196</f>
        <v>0.17341040462427745</v>
      </c>
      <c r="I197" s="24">
        <f>'Rådata-K'!T196</f>
        <v>5.3191489361702038E-2</v>
      </c>
      <c r="J197" s="24">
        <f>'Rådata-K'!U196</f>
        <v>0.90928725701943847</v>
      </c>
      <c r="K197" s="24">
        <f>'Rådata-K'!L196</f>
        <v>409800</v>
      </c>
      <c r="L197" s="24">
        <f>Tabell2[[#This Row],[NIBR11]]</f>
        <v>4</v>
      </c>
      <c r="M197" s="24">
        <f>IF(Tabell2[[#This Row],[ReisetidOslo]]&lt;=C$434,C$434,IF(Tabell2[[#This Row],[ReisetidOslo]]&gt;=C$435,C$435,Tabell2[[#This Row],[ReisetidOslo]]))</f>
        <v>177.36666666669998</v>
      </c>
      <c r="N197" s="24">
        <f>IF(Tabell2[[#This Row],[Beftettland]]&lt;=D$434,D$434,IF(Tabell2[[#This Row],[Beftettland]]&gt;=D$435,D$435,Tabell2[[#This Row],[Beftettland]]))</f>
        <v>19.412028725314183</v>
      </c>
      <c r="O197" s="24">
        <f>IF(Tabell2[[#This Row],[Beftettotal]]&lt;=E$434,E$434,IF(Tabell2[[#This Row],[Beftettotal]]&gt;=E$435,E$435,Tabell2[[#This Row],[Beftettotal]]))</f>
        <v>18.341815097540287</v>
      </c>
      <c r="P197" s="24">
        <f>IF(Tabell2[[#This Row],[Befvekst10]]&lt;=F$434,F$434,IF(Tabell2[[#This Row],[Befvekst10]]&gt;=F$435,F$435,Tabell2[[#This Row],[Befvekst10]]))</f>
        <v>0.12337662337662336</v>
      </c>
      <c r="Q197" s="24">
        <f>IF(Tabell2[[#This Row],[Kvinneandel]]&lt;=G$434,G$434,IF(Tabell2[[#This Row],[Kvinneandel]]&gt;=G$435,G$435,Tabell2[[#This Row],[Kvinneandel]]))</f>
        <v>0.10751445086705202</v>
      </c>
      <c r="R197" s="24">
        <f>IF(Tabell2[[#This Row],[Eldreandel]]&lt;=H$434,H$434,IF(Tabell2[[#This Row],[Eldreandel]]&gt;=H$435,H$435,Tabell2[[#This Row],[Eldreandel]]))</f>
        <v>0.17341040462427745</v>
      </c>
      <c r="S197" s="24">
        <f>IF(Tabell2[[#This Row],[Sysselsettingsvekst10]]&lt;=I$434,I$434,IF(Tabell2[[#This Row],[Sysselsettingsvekst10]]&gt;=I$435,I$435,Tabell2[[#This Row],[Sysselsettingsvekst10]]))</f>
        <v>5.3191489361702038E-2</v>
      </c>
      <c r="T197" s="24">
        <f>IF(Tabell2[[#This Row],[Yrkesaktivandel]]&lt;=J$434,J$434,IF(Tabell2[[#This Row],[Yrkesaktivandel]]&gt;=J$435,J$435,Tabell2[[#This Row],[Yrkesaktivandel]]))</f>
        <v>0.90928725701943847</v>
      </c>
      <c r="U197" s="24">
        <f>IF(Tabell2[[#This Row],[Inntekt]]&lt;=K$434,K$434,IF(Tabell2[[#This Row],[Inntekt]]&gt;=K$435,K$435,Tabell2[[#This Row],[Inntekt]]))</f>
        <v>409800</v>
      </c>
      <c r="V197" s="7">
        <f>IF(Tabell2[[#This Row],[NIBR11-T]]&lt;=L$437,100,IF(Tabell2[[#This Row],[NIBR11-T]]&gt;=L$436,0,100*(L$436-Tabell2[[#This Row],[NIBR11-T]])/L$439))</f>
        <v>70</v>
      </c>
      <c r="W197" s="7">
        <f>(M$436-Tabell2[[#This Row],[ReisetidOslo-T]])*100/M$439</f>
        <v>45.231444241307265</v>
      </c>
      <c r="X197" s="7">
        <f>100-(N$436-Tabell2[[#This Row],[Beftettland-T]])*100/N$439</f>
        <v>13.321684478863943</v>
      </c>
      <c r="Y197" s="7">
        <f>100-(O$436-Tabell2[[#This Row],[Beftettotal-T]])*100/O$439</f>
        <v>13.030636172497026</v>
      </c>
      <c r="Z197" s="7">
        <f>100-(P$436-Tabell2[[#This Row],[Befvekst10-T]])*100/P$439</f>
        <v>78.70153087614564</v>
      </c>
      <c r="AA197" s="7">
        <f>100-(Q$436-Tabell2[[#This Row],[Kvinneandel-T]])*100/Q$439</f>
        <v>47.267601988554432</v>
      </c>
      <c r="AB197" s="7">
        <f>(R$436-Tabell2[[#This Row],[Eldreandel-T]])*100/R$439</f>
        <v>50.637078247431091</v>
      </c>
      <c r="AC197" s="7">
        <f>100-(S$436-Tabell2[[#This Row],[Sysselsettingsvekst10-T]])*100/S$439</f>
        <v>47.569519406440925</v>
      </c>
      <c r="AD197" s="7">
        <f>100-(T$436-Tabell2[[#This Row],[Yrkesaktivandel-T]])*100/T$439</f>
        <v>77.86654746467309</v>
      </c>
      <c r="AE197" s="7">
        <f>100-(U$436-Tabell2[[#This Row],[Inntekt-T]])*100/U$439</f>
        <v>73.795282699469581</v>
      </c>
      <c r="AF197" s="7">
        <v>14</v>
      </c>
      <c r="AG197" s="7">
        <v>4.5231444241307264</v>
      </c>
      <c r="AH197" s="7">
        <v>1.3030636172497028</v>
      </c>
      <c r="AI197" s="7">
        <v>15.740306175229129</v>
      </c>
      <c r="AJ197" s="7">
        <v>2.3633800994277219</v>
      </c>
      <c r="AK197" s="7">
        <v>2.5318539123715547</v>
      </c>
      <c r="AL197" s="7">
        <v>4.7569519406440923</v>
      </c>
      <c r="AM197" s="7">
        <v>7.7866547464673097</v>
      </c>
      <c r="AN197" s="7">
        <v>7.3795282699469587</v>
      </c>
      <c r="AO19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60.384883185467203</v>
      </c>
    </row>
    <row r="198" spans="1:41" x14ac:dyDescent="0.3">
      <c r="A198" s="2" t="s">
        <v>195</v>
      </c>
      <c r="B198">
        <f>'Rådata-K'!N197</f>
        <v>4</v>
      </c>
      <c r="C198" s="7">
        <f>'Rådata-K'!M197</f>
        <v>169.13333333330002</v>
      </c>
      <c r="D198" s="24">
        <f>'Rådata-K'!O197</f>
        <v>27.327530141577871</v>
      </c>
      <c r="E198" s="24">
        <f>'Rådata-K'!P197</f>
        <v>25.681107637338098</v>
      </c>
      <c r="F198" s="24">
        <f>'Rådata-K'!Q197</f>
        <v>0.16857417905658356</v>
      </c>
      <c r="G198" s="24">
        <f>'Rådata-K'!R197</f>
        <v>0.12219679633867277</v>
      </c>
      <c r="H198" s="24">
        <f>'Rådata-K'!S197</f>
        <v>0.1276887871853547</v>
      </c>
      <c r="I198" s="24">
        <f>'Rådata-K'!T197</f>
        <v>0.15982603968469689</v>
      </c>
      <c r="J198" s="24">
        <f>'Rådata-K'!U197</f>
        <v>0.89561898440092935</v>
      </c>
      <c r="K198" s="24">
        <f>'Rådata-K'!L197</f>
        <v>424900</v>
      </c>
      <c r="L198" s="24">
        <f>Tabell2[[#This Row],[NIBR11]]</f>
        <v>4</v>
      </c>
      <c r="M198" s="24">
        <f>IF(Tabell2[[#This Row],[ReisetidOslo]]&lt;=C$434,C$434,IF(Tabell2[[#This Row],[ReisetidOslo]]&gt;=C$435,C$435,Tabell2[[#This Row],[ReisetidOslo]]))</f>
        <v>169.13333333330002</v>
      </c>
      <c r="N198" s="24">
        <f>IF(Tabell2[[#This Row],[Beftettland]]&lt;=D$434,D$434,IF(Tabell2[[#This Row],[Beftettland]]&gt;=D$435,D$435,Tabell2[[#This Row],[Beftettland]]))</f>
        <v>27.327530141577871</v>
      </c>
      <c r="O198" s="24">
        <f>IF(Tabell2[[#This Row],[Beftettotal]]&lt;=E$434,E$434,IF(Tabell2[[#This Row],[Beftettotal]]&gt;=E$435,E$435,Tabell2[[#This Row],[Beftettotal]]))</f>
        <v>25.681107637338098</v>
      </c>
      <c r="P198" s="24">
        <f>IF(Tabell2[[#This Row],[Befvekst10]]&lt;=F$434,F$434,IF(Tabell2[[#This Row],[Befvekst10]]&gt;=F$435,F$435,Tabell2[[#This Row],[Befvekst10]]))</f>
        <v>0.16857417905658356</v>
      </c>
      <c r="Q198" s="24">
        <f>IF(Tabell2[[#This Row],[Kvinneandel]]&lt;=G$434,G$434,IF(Tabell2[[#This Row],[Kvinneandel]]&gt;=G$435,G$435,Tabell2[[#This Row],[Kvinneandel]]))</f>
        <v>0.12219679633867277</v>
      </c>
      <c r="R198" s="24">
        <f>IF(Tabell2[[#This Row],[Eldreandel]]&lt;=H$434,H$434,IF(Tabell2[[#This Row],[Eldreandel]]&gt;=H$435,H$435,Tabell2[[#This Row],[Eldreandel]]))</f>
        <v>0.1276887871853547</v>
      </c>
      <c r="S198" s="24">
        <f>IF(Tabell2[[#This Row],[Sysselsettingsvekst10]]&lt;=I$434,I$434,IF(Tabell2[[#This Row],[Sysselsettingsvekst10]]&gt;=I$435,I$435,Tabell2[[#This Row],[Sysselsettingsvekst10]]))</f>
        <v>0.15982603968469689</v>
      </c>
      <c r="T198" s="24">
        <f>IF(Tabell2[[#This Row],[Yrkesaktivandel]]&lt;=J$434,J$434,IF(Tabell2[[#This Row],[Yrkesaktivandel]]&gt;=J$435,J$435,Tabell2[[#This Row],[Yrkesaktivandel]]))</f>
        <v>0.89561898440092935</v>
      </c>
      <c r="U198" s="24">
        <f>IF(Tabell2[[#This Row],[Inntekt]]&lt;=K$434,K$434,IF(Tabell2[[#This Row],[Inntekt]]&gt;=K$435,K$435,Tabell2[[#This Row],[Inntekt]]))</f>
        <v>424900</v>
      </c>
      <c r="V198" s="7">
        <f>IF(Tabell2[[#This Row],[NIBR11-T]]&lt;=L$437,100,IF(Tabell2[[#This Row],[NIBR11-T]]&gt;=L$436,0,100*(L$436-Tabell2[[#This Row],[NIBR11-T]])/L$439))</f>
        <v>70</v>
      </c>
      <c r="W198" s="7">
        <f>(M$436-Tabell2[[#This Row],[ReisetidOslo-T]])*100/M$439</f>
        <v>48.843875685577444</v>
      </c>
      <c r="X198" s="7">
        <f>100-(N$436-Tabell2[[#This Row],[Beftettland-T]])*100/N$439</f>
        <v>19.176810511445296</v>
      </c>
      <c r="Y198" s="7">
        <f>100-(O$436-Tabell2[[#This Row],[Beftettotal-T]])*100/O$439</f>
        <v>18.648413725675951</v>
      </c>
      <c r="Z198" s="7">
        <f>100-(P$436-Tabell2[[#This Row],[Befvekst10-T]])*100/P$439</f>
        <v>96.995741048778541</v>
      </c>
      <c r="AA198" s="7">
        <f>100-(Q$436-Tabell2[[#This Row],[Kvinneandel-T]])*100/Q$439</f>
        <v>85.838905688303811</v>
      </c>
      <c r="AB198" s="7">
        <f>(R$436-Tabell2[[#This Row],[Eldreandel-T]])*100/R$439</f>
        <v>99.982354879820718</v>
      </c>
      <c r="AC198" s="7">
        <f>100-(S$436-Tabell2[[#This Row],[Sysselsettingsvekst10-T]])*100/S$439</f>
        <v>82.369843618887302</v>
      </c>
      <c r="AD198" s="7">
        <f>100-(T$436-Tabell2[[#This Row],[Yrkesaktivandel-T]])*100/T$439</f>
        <v>68.226399223502966</v>
      </c>
      <c r="AE198" s="7">
        <f>100-(U$436-Tabell2[[#This Row],[Inntekt-T]])*100/U$439</f>
        <v>90.836248730391603</v>
      </c>
      <c r="AF198" s="7">
        <v>14</v>
      </c>
      <c r="AG198" s="7">
        <v>4.8843875685577451</v>
      </c>
      <c r="AH198" s="7">
        <v>1.8648413725675952</v>
      </c>
      <c r="AI198" s="7">
        <v>19.399148209755708</v>
      </c>
      <c r="AJ198" s="7">
        <v>4.2919452844151911</v>
      </c>
      <c r="AK198" s="7">
        <v>4.9991177439910359</v>
      </c>
      <c r="AL198" s="7">
        <v>8.2369843618887302</v>
      </c>
      <c r="AM198" s="7">
        <v>6.8226399223502971</v>
      </c>
      <c r="AN198" s="7">
        <v>9.0836248730391613</v>
      </c>
      <c r="AO19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73.582689336565451</v>
      </c>
    </row>
    <row r="199" spans="1:41" x14ac:dyDescent="0.3">
      <c r="A199" s="2" t="s">
        <v>196</v>
      </c>
      <c r="B199">
        <f>'Rådata-K'!N198</f>
        <v>4</v>
      </c>
      <c r="C199" s="7">
        <f>'Rådata-K'!M198</f>
        <v>160.85</v>
      </c>
      <c r="D199" s="24">
        <f>'Rådata-K'!O198</f>
        <v>192.17838921282797</v>
      </c>
      <c r="E199" s="24">
        <f>'Rådata-K'!P198</f>
        <v>183.46960076541706</v>
      </c>
      <c r="F199" s="24">
        <f>'Rådata-K'!Q198</f>
        <v>0.11229171060957599</v>
      </c>
      <c r="G199" s="24">
        <f>'Rådata-K'!R198</f>
        <v>0.12435110342048498</v>
      </c>
      <c r="H199" s="24">
        <f>'Rådata-K'!S198</f>
        <v>0.13606087183255505</v>
      </c>
      <c r="I199" s="24">
        <f>'Rådata-K'!T198</f>
        <v>7.5096829723138692E-2</v>
      </c>
      <c r="J199" s="24">
        <f>'Rådata-K'!U198</f>
        <v>0.81780640898579449</v>
      </c>
      <c r="K199" s="24">
        <f>'Rådata-K'!L198</f>
        <v>410900</v>
      </c>
      <c r="L199" s="24">
        <f>Tabell2[[#This Row],[NIBR11]]</f>
        <v>4</v>
      </c>
      <c r="M199" s="24">
        <f>IF(Tabell2[[#This Row],[ReisetidOslo]]&lt;=C$434,C$434,IF(Tabell2[[#This Row],[ReisetidOslo]]&gt;=C$435,C$435,Tabell2[[#This Row],[ReisetidOslo]]))</f>
        <v>160.85</v>
      </c>
      <c r="N199" s="24">
        <f>IF(Tabell2[[#This Row],[Beftettland]]&lt;=D$434,D$434,IF(Tabell2[[#This Row],[Beftettland]]&gt;=D$435,D$435,Tabell2[[#This Row],[Beftettland]]))</f>
        <v>136.59179999736304</v>
      </c>
      <c r="O199" s="24">
        <f>IF(Tabell2[[#This Row],[Beftettotal]]&lt;=E$434,E$434,IF(Tabell2[[#This Row],[Beftettotal]]&gt;=E$435,E$435,Tabell2[[#This Row],[Beftettotal]]))</f>
        <v>131.96212083018065</v>
      </c>
      <c r="P199" s="24">
        <f>IF(Tabell2[[#This Row],[Befvekst10]]&lt;=F$434,F$434,IF(Tabell2[[#This Row],[Befvekst10]]&gt;=F$435,F$435,Tabell2[[#This Row],[Befvekst10]]))</f>
        <v>0.11229171060957599</v>
      </c>
      <c r="Q199" s="24">
        <f>IF(Tabell2[[#This Row],[Kvinneandel]]&lt;=G$434,G$434,IF(Tabell2[[#This Row],[Kvinneandel]]&gt;=G$435,G$435,Tabell2[[#This Row],[Kvinneandel]]))</f>
        <v>0.12435110342048498</v>
      </c>
      <c r="R199" s="24">
        <f>IF(Tabell2[[#This Row],[Eldreandel]]&lt;=H$434,H$434,IF(Tabell2[[#This Row],[Eldreandel]]&gt;=H$435,H$435,Tabell2[[#This Row],[Eldreandel]]))</f>
        <v>0.13606087183255505</v>
      </c>
      <c r="S199" s="24">
        <f>IF(Tabell2[[#This Row],[Sysselsettingsvekst10]]&lt;=I$434,I$434,IF(Tabell2[[#This Row],[Sysselsettingsvekst10]]&gt;=I$435,I$435,Tabell2[[#This Row],[Sysselsettingsvekst10]]))</f>
        <v>7.5096829723138692E-2</v>
      </c>
      <c r="T199" s="24">
        <f>IF(Tabell2[[#This Row],[Yrkesaktivandel]]&lt;=J$434,J$434,IF(Tabell2[[#This Row],[Yrkesaktivandel]]&gt;=J$435,J$435,Tabell2[[#This Row],[Yrkesaktivandel]]))</f>
        <v>0.81780640898579449</v>
      </c>
      <c r="U199" s="24">
        <f>IF(Tabell2[[#This Row],[Inntekt]]&lt;=K$434,K$434,IF(Tabell2[[#This Row],[Inntekt]]&gt;=K$435,K$435,Tabell2[[#This Row],[Inntekt]]))</f>
        <v>410900</v>
      </c>
      <c r="V199" s="7">
        <f>IF(Tabell2[[#This Row],[NIBR11-T]]&lt;=L$437,100,IF(Tabell2[[#This Row],[NIBR11-T]]&gt;=L$436,0,100*(L$436-Tabell2[[#This Row],[NIBR11-T]])/L$439))</f>
        <v>70</v>
      </c>
      <c r="W199" s="7">
        <f>(M$436-Tabell2[[#This Row],[ReisetidOslo-T]])*100/M$439</f>
        <v>52.478244972582566</v>
      </c>
      <c r="X199" s="7">
        <f>100-(N$436-Tabell2[[#This Row],[Beftettland-T]])*100/N$439</f>
        <v>100</v>
      </c>
      <c r="Y199" s="7">
        <f>100-(O$436-Tabell2[[#This Row],[Beftettotal-T]])*100/O$439</f>
        <v>100</v>
      </c>
      <c r="Z199" s="7">
        <f>100-(P$436-Tabell2[[#This Row],[Befvekst10-T]])*100/P$439</f>
        <v>74.214789926223432</v>
      </c>
      <c r="AA199" s="7">
        <f>100-(Q$436-Tabell2[[#This Row],[Kvinneandel-T]])*100/Q$439</f>
        <v>91.498385154695043</v>
      </c>
      <c r="AB199" s="7">
        <f>(R$436-Tabell2[[#This Row],[Eldreandel-T]])*100/R$439</f>
        <v>90.946742054929871</v>
      </c>
      <c r="AC199" s="7">
        <f>100-(S$436-Tabell2[[#This Row],[Sysselsettingsvekst10-T]])*100/S$439</f>
        <v>54.718355728748712</v>
      </c>
      <c r="AD199" s="7">
        <f>100-(T$436-Tabell2[[#This Row],[Yrkesaktivandel-T]])*100/T$439</f>
        <v>13.345670475575034</v>
      </c>
      <c r="AE199" s="7">
        <f>100-(U$436-Tabell2[[#This Row],[Inntekt-T]])*100/U$439</f>
        <v>75.036677575894373</v>
      </c>
      <c r="AF199" s="7">
        <v>14</v>
      </c>
      <c r="AG199" s="7">
        <v>5.2478244972582573</v>
      </c>
      <c r="AH199" s="7">
        <v>10</v>
      </c>
      <c r="AI199" s="7">
        <v>14.842957985244688</v>
      </c>
      <c r="AJ199" s="7">
        <v>4.5749192577347522</v>
      </c>
      <c r="AK199" s="7">
        <v>4.5473371027464937</v>
      </c>
      <c r="AL199" s="7">
        <v>5.4718355728748715</v>
      </c>
      <c r="AM199" s="7">
        <v>1.3345670475575035</v>
      </c>
      <c r="AN199" s="7">
        <v>7.5036677575894375</v>
      </c>
      <c r="AO19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67.52310922100601</v>
      </c>
    </row>
    <row r="200" spans="1:41" x14ac:dyDescent="0.3">
      <c r="A200" s="2" t="s">
        <v>197</v>
      </c>
      <c r="B200">
        <f>'Rådata-K'!N199</f>
        <v>11</v>
      </c>
      <c r="C200" s="7">
        <f>'Rådata-K'!M199</f>
        <v>233.8</v>
      </c>
      <c r="D200" s="24">
        <f>'Rådata-K'!O199</f>
        <v>31.746031746031747</v>
      </c>
      <c r="E200" s="24">
        <f>'Rådata-K'!P199</f>
        <v>31.595576619273302</v>
      </c>
      <c r="F200" s="24">
        <f>'Rådata-K'!Q199</f>
        <v>-4.3062200956937802E-2</v>
      </c>
      <c r="G200" s="24">
        <f>'Rådata-K'!R199</f>
        <v>0.12</v>
      </c>
      <c r="H200" s="24">
        <f>'Rådata-K'!S199</f>
        <v>0.17499999999999999</v>
      </c>
      <c r="I200" s="24">
        <f>'Rådata-K'!T199</f>
        <v>-0.11818181818181817</v>
      </c>
      <c r="J200" s="24">
        <f>'Rådata-K'!U199</f>
        <v>0.99099099099099097</v>
      </c>
      <c r="K200" s="24">
        <f>'Rådata-K'!L199</f>
        <v>444800</v>
      </c>
      <c r="L200" s="24">
        <f>Tabell2[[#This Row],[NIBR11]]</f>
        <v>11</v>
      </c>
      <c r="M200" s="24">
        <f>IF(Tabell2[[#This Row],[ReisetidOslo]]&lt;=C$434,C$434,IF(Tabell2[[#This Row],[ReisetidOslo]]&gt;=C$435,C$435,Tabell2[[#This Row],[ReisetidOslo]]))</f>
        <v>233.8</v>
      </c>
      <c r="N200" s="24">
        <f>IF(Tabell2[[#This Row],[Beftettland]]&lt;=D$434,D$434,IF(Tabell2[[#This Row],[Beftettland]]&gt;=D$435,D$435,Tabell2[[#This Row],[Beftettland]]))</f>
        <v>31.746031746031747</v>
      </c>
      <c r="O200" s="24">
        <f>IF(Tabell2[[#This Row],[Beftettotal]]&lt;=E$434,E$434,IF(Tabell2[[#This Row],[Beftettotal]]&gt;=E$435,E$435,Tabell2[[#This Row],[Beftettotal]]))</f>
        <v>31.595576619273302</v>
      </c>
      <c r="P200" s="24">
        <f>IF(Tabell2[[#This Row],[Befvekst10]]&lt;=F$434,F$434,IF(Tabell2[[#This Row],[Befvekst10]]&gt;=F$435,F$435,Tabell2[[#This Row],[Befvekst10]]))</f>
        <v>-4.3062200956937802E-2</v>
      </c>
      <c r="Q200" s="24">
        <f>IF(Tabell2[[#This Row],[Kvinneandel]]&lt;=G$434,G$434,IF(Tabell2[[#This Row],[Kvinneandel]]&gt;=G$435,G$435,Tabell2[[#This Row],[Kvinneandel]]))</f>
        <v>0.12</v>
      </c>
      <c r="R200" s="24">
        <f>IF(Tabell2[[#This Row],[Eldreandel]]&lt;=H$434,H$434,IF(Tabell2[[#This Row],[Eldreandel]]&gt;=H$435,H$435,Tabell2[[#This Row],[Eldreandel]]))</f>
        <v>0.17499999999999999</v>
      </c>
      <c r="S200" s="24">
        <f>IF(Tabell2[[#This Row],[Sysselsettingsvekst10]]&lt;=I$434,I$434,IF(Tabell2[[#This Row],[Sysselsettingsvekst10]]&gt;=I$435,I$435,Tabell2[[#This Row],[Sysselsettingsvekst10]]))</f>
        <v>-9.2570207570207563E-2</v>
      </c>
      <c r="T200" s="24">
        <f>IF(Tabell2[[#This Row],[Yrkesaktivandel]]&lt;=J$434,J$434,IF(Tabell2[[#This Row],[Yrkesaktivandel]]&gt;=J$435,J$435,Tabell2[[#This Row],[Yrkesaktivandel]]))</f>
        <v>0.94066914614326791</v>
      </c>
      <c r="U200" s="24">
        <f>IF(Tabell2[[#This Row],[Inntekt]]&lt;=K$434,K$434,IF(Tabell2[[#This Row],[Inntekt]]&gt;=K$435,K$435,Tabell2[[#This Row],[Inntekt]]))</f>
        <v>433020</v>
      </c>
      <c r="V200" s="7">
        <f>IF(Tabell2[[#This Row],[NIBR11-T]]&lt;=L$437,100,IF(Tabell2[[#This Row],[NIBR11-T]]&gt;=L$436,0,100*(L$436-Tabell2[[#This Row],[NIBR11-T]])/L$439))</f>
        <v>0</v>
      </c>
      <c r="W200" s="7">
        <f>(M$436-Tabell2[[#This Row],[ReisetidOslo-T]])*100/M$439</f>
        <v>20.470932358326237</v>
      </c>
      <c r="X200" s="7">
        <f>100-(N$436-Tabell2[[#This Row],[Beftettland-T]])*100/N$439</f>
        <v>22.445192690757963</v>
      </c>
      <c r="Y200" s="7">
        <f>100-(O$436-Tabell2[[#This Row],[Beftettotal-T]])*100/O$439</f>
        <v>23.175576378686102</v>
      </c>
      <c r="Z200" s="7">
        <f>100-(P$436-Tabell2[[#This Row],[Befvekst10-T]])*100/P$439</f>
        <v>11.333577290236676</v>
      </c>
      <c r="AA200" s="7">
        <f>100-(Q$436-Tabell2[[#This Row],[Kvinneandel-T]])*100/Q$439</f>
        <v>80.067804680687246</v>
      </c>
      <c r="AB200" s="7">
        <f>(R$436-Tabell2[[#This Row],[Eldreandel-T]])*100/R$439</f>
        <v>48.921499754317217</v>
      </c>
      <c r="AC200" s="7">
        <f>100-(S$436-Tabell2[[#This Row],[Sysselsettingsvekst10-T]])*100/S$439</f>
        <v>0</v>
      </c>
      <c r="AD200" s="7">
        <f>100-(T$436-Tabell2[[#This Row],[Yrkesaktivandel-T]])*100/T$439</f>
        <v>100</v>
      </c>
      <c r="AE200" s="7">
        <f>100-(U$436-Tabell2[[#This Row],[Inntekt-T]])*100/U$439</f>
        <v>100</v>
      </c>
      <c r="AF200" s="7">
        <v>0</v>
      </c>
      <c r="AG200" s="7">
        <v>2.0470932358326239</v>
      </c>
      <c r="AH200" s="7">
        <v>2.3175576378686102</v>
      </c>
      <c r="AI200" s="7">
        <v>2.2667154580473352</v>
      </c>
      <c r="AJ200" s="7">
        <v>4.0033902340343621</v>
      </c>
      <c r="AK200" s="7">
        <v>2.446074987715861</v>
      </c>
      <c r="AL200" s="7">
        <v>0</v>
      </c>
      <c r="AM200" s="7">
        <v>10</v>
      </c>
      <c r="AN200" s="7">
        <v>10</v>
      </c>
      <c r="AO20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33.080831553498797</v>
      </c>
    </row>
    <row r="201" spans="1:41" x14ac:dyDescent="0.3">
      <c r="A201" s="2" t="s">
        <v>198</v>
      </c>
      <c r="B201">
        <f>'Rådata-K'!N200</f>
        <v>4</v>
      </c>
      <c r="C201" s="7">
        <f>'Rådata-K'!M200</f>
        <v>199.4</v>
      </c>
      <c r="D201" s="24">
        <f>'Rådata-K'!O200</f>
        <v>14.67381322112575</v>
      </c>
      <c r="E201" s="24">
        <f>'Rådata-K'!P200</f>
        <v>14.160718026394237</v>
      </c>
      <c r="F201" s="24">
        <f>'Rådata-K'!Q200</f>
        <v>8.2399310259884118E-2</v>
      </c>
      <c r="G201" s="24">
        <f>'Rådata-K'!R200</f>
        <v>0.11754665452890305</v>
      </c>
      <c r="H201" s="24">
        <f>'Rådata-K'!S200</f>
        <v>0.14462903959945381</v>
      </c>
      <c r="I201" s="24">
        <f>'Rådata-K'!T200</f>
        <v>0.20578231292517013</v>
      </c>
      <c r="J201" s="24">
        <f>'Rådata-K'!U200</f>
        <v>0.92223110755697724</v>
      </c>
      <c r="K201" s="24">
        <f>'Rådata-K'!L200</f>
        <v>416100</v>
      </c>
      <c r="L201" s="24">
        <f>Tabell2[[#This Row],[NIBR11]]</f>
        <v>4</v>
      </c>
      <c r="M201" s="24">
        <f>IF(Tabell2[[#This Row],[ReisetidOslo]]&lt;=C$434,C$434,IF(Tabell2[[#This Row],[ReisetidOslo]]&gt;=C$435,C$435,Tabell2[[#This Row],[ReisetidOslo]]))</f>
        <v>199.4</v>
      </c>
      <c r="N201" s="24">
        <f>IF(Tabell2[[#This Row],[Beftettland]]&lt;=D$434,D$434,IF(Tabell2[[#This Row],[Beftettland]]&gt;=D$435,D$435,Tabell2[[#This Row],[Beftettland]]))</f>
        <v>14.67381322112575</v>
      </c>
      <c r="O201" s="24">
        <f>IF(Tabell2[[#This Row],[Beftettotal]]&lt;=E$434,E$434,IF(Tabell2[[#This Row],[Beftettotal]]&gt;=E$435,E$435,Tabell2[[#This Row],[Beftettotal]]))</f>
        <v>14.160718026394237</v>
      </c>
      <c r="P201" s="24">
        <f>IF(Tabell2[[#This Row],[Befvekst10]]&lt;=F$434,F$434,IF(Tabell2[[#This Row],[Befvekst10]]&gt;=F$435,F$435,Tabell2[[#This Row],[Befvekst10]]))</f>
        <v>8.2399310259884118E-2</v>
      </c>
      <c r="Q201" s="24">
        <f>IF(Tabell2[[#This Row],[Kvinneandel]]&lt;=G$434,G$434,IF(Tabell2[[#This Row],[Kvinneandel]]&gt;=G$435,G$435,Tabell2[[#This Row],[Kvinneandel]]))</f>
        <v>0.11754665452890305</v>
      </c>
      <c r="R201" s="24">
        <f>IF(Tabell2[[#This Row],[Eldreandel]]&lt;=H$434,H$434,IF(Tabell2[[#This Row],[Eldreandel]]&gt;=H$435,H$435,Tabell2[[#This Row],[Eldreandel]]))</f>
        <v>0.14462903959945381</v>
      </c>
      <c r="S201" s="24">
        <f>IF(Tabell2[[#This Row],[Sysselsettingsvekst10]]&lt;=I$434,I$434,IF(Tabell2[[#This Row],[Sysselsettingsvekst10]]&gt;=I$435,I$435,Tabell2[[#This Row],[Sysselsettingsvekst10]]))</f>
        <v>0.20578231292517013</v>
      </c>
      <c r="T201" s="24">
        <f>IF(Tabell2[[#This Row],[Yrkesaktivandel]]&lt;=J$434,J$434,IF(Tabell2[[#This Row],[Yrkesaktivandel]]&gt;=J$435,J$435,Tabell2[[#This Row],[Yrkesaktivandel]]))</f>
        <v>0.92223110755697724</v>
      </c>
      <c r="U201" s="24">
        <f>IF(Tabell2[[#This Row],[Inntekt]]&lt;=K$434,K$434,IF(Tabell2[[#This Row],[Inntekt]]&gt;=K$435,K$435,Tabell2[[#This Row],[Inntekt]]))</f>
        <v>416100</v>
      </c>
      <c r="V201" s="7">
        <f>IF(Tabell2[[#This Row],[NIBR11-T]]&lt;=L$437,100,IF(Tabell2[[#This Row],[NIBR11-T]]&gt;=L$436,0,100*(L$436-Tabell2[[#This Row],[NIBR11-T]])/L$439))</f>
        <v>70</v>
      </c>
      <c r="W201" s="7">
        <f>(M$436-Tabell2[[#This Row],[ReisetidOslo-T]])*100/M$439</f>
        <v>35.564168190134566</v>
      </c>
      <c r="X201" s="7">
        <f>100-(N$436-Tabell2[[#This Row],[Beftettland-T]])*100/N$439</f>
        <v>9.8168087309356906</v>
      </c>
      <c r="Y201" s="7">
        <f>100-(O$436-Tabell2[[#This Row],[Beftettotal-T]])*100/O$439</f>
        <v>9.8302632282958342</v>
      </c>
      <c r="Z201" s="7">
        <f>100-(P$436-Tabell2[[#This Row],[Befvekst10-T]])*100/P$439</f>
        <v>62.115510521956544</v>
      </c>
      <c r="AA201" s="7">
        <f>100-(Q$436-Tabell2[[#This Row],[Kvinneandel-T]])*100/Q$439</f>
        <v>73.622735435518521</v>
      </c>
      <c r="AB201" s="7">
        <f>(R$436-Tabell2[[#This Row],[Eldreandel-T]])*100/R$439</f>
        <v>81.699505575268162</v>
      </c>
      <c r="AC201" s="7">
        <f>100-(S$436-Tabell2[[#This Row],[Sysselsettingsvekst10-T]])*100/S$439</f>
        <v>97.367733172695168</v>
      </c>
      <c r="AD201" s="7">
        <f>100-(T$436-Tabell2[[#This Row],[Yrkesaktivandel-T]])*100/T$439</f>
        <v>86.995765287300472</v>
      </c>
      <c r="AE201" s="7">
        <f>100-(U$436-Tabell2[[#This Row],[Inntekt-T]])*100/U$439</f>
        <v>80.905089718993338</v>
      </c>
      <c r="AF201" s="7">
        <v>14</v>
      </c>
      <c r="AG201" s="7">
        <v>3.5564168190134566</v>
      </c>
      <c r="AH201" s="7">
        <v>0.98302632282958347</v>
      </c>
      <c r="AI201" s="7">
        <v>12.42310210439131</v>
      </c>
      <c r="AJ201" s="7">
        <v>3.6811367717759262</v>
      </c>
      <c r="AK201" s="7">
        <v>4.0849752787634079</v>
      </c>
      <c r="AL201" s="7">
        <v>9.7367733172695168</v>
      </c>
      <c r="AM201" s="7">
        <v>8.6995765287300468</v>
      </c>
      <c r="AN201" s="7">
        <v>8.0905089718993342</v>
      </c>
      <c r="AO20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65.255516114672588</v>
      </c>
    </row>
    <row r="202" spans="1:41" x14ac:dyDescent="0.3">
      <c r="A202" s="2" t="s">
        <v>199</v>
      </c>
      <c r="B202">
        <f>'Rådata-K'!N201</f>
        <v>1</v>
      </c>
      <c r="C202" s="7">
        <f>'Rådata-K'!M201</f>
        <v>165.35</v>
      </c>
      <c r="D202" s="24">
        <f>'Rådata-K'!O201</f>
        <v>623.25252207517917</v>
      </c>
      <c r="E202" s="24">
        <f>'Rådata-K'!P201</f>
        <v>596.92489778351626</v>
      </c>
      <c r="F202" s="24">
        <f>'Rådata-K'!Q201</f>
        <v>0.14549591588962585</v>
      </c>
      <c r="G202" s="24">
        <f>'Rådata-K'!R201</f>
        <v>0.15145408466749102</v>
      </c>
      <c r="H202" s="24">
        <f>'Rådata-K'!S201</f>
        <v>0.1302962244629422</v>
      </c>
      <c r="I202" s="24">
        <f>'Rådata-K'!T201</f>
        <v>0.15999799078632004</v>
      </c>
      <c r="J202" s="24">
        <f>'Rådata-K'!U201</f>
        <v>0.82326125614722045</v>
      </c>
      <c r="K202" s="24">
        <f>'Rådata-K'!L201</f>
        <v>442200</v>
      </c>
      <c r="L202" s="24">
        <f>Tabell2[[#This Row],[NIBR11]]</f>
        <v>1</v>
      </c>
      <c r="M202" s="24">
        <f>IF(Tabell2[[#This Row],[ReisetidOslo]]&lt;=C$434,C$434,IF(Tabell2[[#This Row],[ReisetidOslo]]&gt;=C$435,C$435,Tabell2[[#This Row],[ReisetidOslo]]))</f>
        <v>165.35</v>
      </c>
      <c r="N202" s="24">
        <f>IF(Tabell2[[#This Row],[Beftettland]]&lt;=D$434,D$434,IF(Tabell2[[#This Row],[Beftettland]]&gt;=D$435,D$435,Tabell2[[#This Row],[Beftettland]]))</f>
        <v>136.59179999736304</v>
      </c>
      <c r="O202" s="24">
        <f>IF(Tabell2[[#This Row],[Beftettotal]]&lt;=E$434,E$434,IF(Tabell2[[#This Row],[Beftettotal]]&gt;=E$435,E$435,Tabell2[[#This Row],[Beftettotal]]))</f>
        <v>131.96212083018065</v>
      </c>
      <c r="P202" s="24">
        <f>IF(Tabell2[[#This Row],[Befvekst10]]&lt;=F$434,F$434,IF(Tabell2[[#This Row],[Befvekst10]]&gt;=F$435,F$435,Tabell2[[#This Row],[Befvekst10]]))</f>
        <v>0.14549591588962585</v>
      </c>
      <c r="Q202" s="24">
        <f>IF(Tabell2[[#This Row],[Kvinneandel]]&lt;=G$434,G$434,IF(Tabell2[[#This Row],[Kvinneandel]]&gt;=G$435,G$435,Tabell2[[#This Row],[Kvinneandel]]))</f>
        <v>0.12758728250318055</v>
      </c>
      <c r="R202" s="24">
        <f>IF(Tabell2[[#This Row],[Eldreandel]]&lt;=H$434,H$434,IF(Tabell2[[#This Row],[Eldreandel]]&gt;=H$435,H$435,Tabell2[[#This Row],[Eldreandel]]))</f>
        <v>0.1302962244629422</v>
      </c>
      <c r="S202" s="24">
        <f>IF(Tabell2[[#This Row],[Sysselsettingsvekst10]]&lt;=I$434,I$434,IF(Tabell2[[#This Row],[Sysselsettingsvekst10]]&gt;=I$435,I$435,Tabell2[[#This Row],[Sysselsettingsvekst10]]))</f>
        <v>0.15999799078632004</v>
      </c>
      <c r="T202" s="24">
        <f>IF(Tabell2[[#This Row],[Yrkesaktivandel]]&lt;=J$434,J$434,IF(Tabell2[[#This Row],[Yrkesaktivandel]]&gt;=J$435,J$435,Tabell2[[#This Row],[Yrkesaktivandel]]))</f>
        <v>0.82326125614722045</v>
      </c>
      <c r="U202" s="24">
        <f>IF(Tabell2[[#This Row],[Inntekt]]&lt;=K$434,K$434,IF(Tabell2[[#This Row],[Inntekt]]&gt;=K$435,K$435,Tabell2[[#This Row],[Inntekt]]))</f>
        <v>433020</v>
      </c>
      <c r="V202" s="7">
        <f>IF(Tabell2[[#This Row],[NIBR11-T]]&lt;=L$437,100,IF(Tabell2[[#This Row],[NIBR11-T]]&gt;=L$436,0,100*(L$436-Tabell2[[#This Row],[NIBR11-T]])/L$439))</f>
        <v>100</v>
      </c>
      <c r="W202" s="7">
        <f>(M$436-Tabell2[[#This Row],[ReisetidOslo-T]])*100/M$439</f>
        <v>50.503839122491357</v>
      </c>
      <c r="X202" s="7">
        <f>100-(N$436-Tabell2[[#This Row],[Beftettland-T]])*100/N$439</f>
        <v>100</v>
      </c>
      <c r="Y202" s="7">
        <f>100-(O$436-Tabell2[[#This Row],[Beftettotal-T]])*100/O$439</f>
        <v>100</v>
      </c>
      <c r="Z202" s="7">
        <f>100-(P$436-Tabell2[[#This Row],[Befvekst10-T]])*100/P$439</f>
        <v>87.654558977225662</v>
      </c>
      <c r="AA202" s="7">
        <f>100-(Q$436-Tabell2[[#This Row],[Kvinneandel-T]])*100/Q$439</f>
        <v>100</v>
      </c>
      <c r="AB202" s="7">
        <f>(R$436-Tabell2[[#This Row],[Eldreandel-T]])*100/R$439</f>
        <v>97.168265594024192</v>
      </c>
      <c r="AC202" s="7">
        <f>100-(S$436-Tabell2[[#This Row],[Sysselsettingsvekst10-T]])*100/S$439</f>
        <v>82.425960084582982</v>
      </c>
      <c r="AD202" s="7">
        <f>100-(T$436-Tabell2[[#This Row],[Yrkesaktivandel-T]])*100/T$439</f>
        <v>17.192940480847142</v>
      </c>
      <c r="AE202" s="7">
        <f>100-(U$436-Tabell2[[#This Row],[Inntekt-T]])*100/U$439</f>
        <v>100</v>
      </c>
      <c r="AF202" s="7">
        <v>20</v>
      </c>
      <c r="AG202" s="7">
        <v>5.0503839122491359</v>
      </c>
      <c r="AH202" s="7">
        <v>10</v>
      </c>
      <c r="AI202" s="7">
        <v>17.530911795445132</v>
      </c>
      <c r="AJ202" s="7">
        <v>5</v>
      </c>
      <c r="AK202" s="7">
        <v>4.8584132797012103</v>
      </c>
      <c r="AL202" s="7">
        <v>8.2425960084582979</v>
      </c>
      <c r="AM202" s="7">
        <v>1.7192940480847143</v>
      </c>
      <c r="AN202" s="7">
        <v>10</v>
      </c>
      <c r="AO20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82.401599043938489</v>
      </c>
    </row>
    <row r="203" spans="1:41" x14ac:dyDescent="0.3">
      <c r="A203" s="2" t="s">
        <v>200</v>
      </c>
      <c r="B203">
        <f>'Rådata-K'!N202</f>
        <v>8</v>
      </c>
      <c r="C203" s="7">
        <f>'Rådata-K'!M202</f>
        <v>209.65</v>
      </c>
      <c r="D203" s="24">
        <f>'Rådata-K'!O202</f>
        <v>5.9303551569247652</v>
      </c>
      <c r="E203" s="24">
        <f>'Rådata-K'!P202</f>
        <v>5.5843431664558603</v>
      </c>
      <c r="F203" s="24">
        <f>'Rådata-K'!Q202</f>
        <v>6.0433884297520724E-2</v>
      </c>
      <c r="G203" s="24">
        <f>'Rådata-K'!R202</f>
        <v>0.10594252313687287</v>
      </c>
      <c r="H203" s="24">
        <f>'Rådata-K'!S202</f>
        <v>0.16317584023380419</v>
      </c>
      <c r="I203" s="24">
        <f>'Rådata-K'!T202</f>
        <v>0.11125827814569544</v>
      </c>
      <c r="J203" s="24">
        <f>'Rådata-K'!U202</f>
        <v>0.91012216404886559</v>
      </c>
      <c r="K203" s="24">
        <f>'Rådata-K'!L202</f>
        <v>405700</v>
      </c>
      <c r="L203" s="24">
        <f>Tabell2[[#This Row],[NIBR11]]</f>
        <v>8</v>
      </c>
      <c r="M203" s="24">
        <f>IF(Tabell2[[#This Row],[ReisetidOslo]]&lt;=C$434,C$434,IF(Tabell2[[#This Row],[ReisetidOslo]]&gt;=C$435,C$435,Tabell2[[#This Row],[ReisetidOslo]]))</f>
        <v>209.65</v>
      </c>
      <c r="N203" s="24">
        <f>IF(Tabell2[[#This Row],[Beftettland]]&lt;=D$434,D$434,IF(Tabell2[[#This Row],[Beftettland]]&gt;=D$435,D$435,Tabell2[[#This Row],[Beftettland]]))</f>
        <v>5.9303551569247652</v>
      </c>
      <c r="O203" s="24">
        <f>IF(Tabell2[[#This Row],[Beftettotal]]&lt;=E$434,E$434,IF(Tabell2[[#This Row],[Beftettotal]]&gt;=E$435,E$435,Tabell2[[#This Row],[Beftettotal]]))</f>
        <v>5.5843431664558603</v>
      </c>
      <c r="P203" s="24">
        <f>IF(Tabell2[[#This Row],[Befvekst10]]&lt;=F$434,F$434,IF(Tabell2[[#This Row],[Befvekst10]]&gt;=F$435,F$435,Tabell2[[#This Row],[Befvekst10]]))</f>
        <v>6.0433884297520724E-2</v>
      </c>
      <c r="Q203" s="24">
        <f>IF(Tabell2[[#This Row],[Kvinneandel]]&lt;=G$434,G$434,IF(Tabell2[[#This Row],[Kvinneandel]]&gt;=G$435,G$435,Tabell2[[#This Row],[Kvinneandel]]))</f>
        <v>0.10594252313687287</v>
      </c>
      <c r="R203" s="24">
        <f>IF(Tabell2[[#This Row],[Eldreandel]]&lt;=H$434,H$434,IF(Tabell2[[#This Row],[Eldreandel]]&gt;=H$435,H$435,Tabell2[[#This Row],[Eldreandel]]))</f>
        <v>0.16317584023380419</v>
      </c>
      <c r="S203" s="24">
        <f>IF(Tabell2[[#This Row],[Sysselsettingsvekst10]]&lt;=I$434,I$434,IF(Tabell2[[#This Row],[Sysselsettingsvekst10]]&gt;=I$435,I$435,Tabell2[[#This Row],[Sysselsettingsvekst10]]))</f>
        <v>0.11125827814569544</v>
      </c>
      <c r="T203" s="24">
        <f>IF(Tabell2[[#This Row],[Yrkesaktivandel]]&lt;=J$434,J$434,IF(Tabell2[[#This Row],[Yrkesaktivandel]]&gt;=J$435,J$435,Tabell2[[#This Row],[Yrkesaktivandel]]))</f>
        <v>0.91012216404886559</v>
      </c>
      <c r="U203" s="24">
        <f>IF(Tabell2[[#This Row],[Inntekt]]&lt;=K$434,K$434,IF(Tabell2[[#This Row],[Inntekt]]&gt;=K$435,K$435,Tabell2[[#This Row],[Inntekt]]))</f>
        <v>405700</v>
      </c>
      <c r="V203" s="7">
        <f>IF(Tabell2[[#This Row],[NIBR11-T]]&lt;=L$437,100,IF(Tabell2[[#This Row],[NIBR11-T]]&gt;=L$436,0,100*(L$436-Tabell2[[#This Row],[NIBR11-T]])/L$439))</f>
        <v>30</v>
      </c>
      <c r="W203" s="7">
        <f>(M$436-Tabell2[[#This Row],[ReisetidOslo-T]])*100/M$439</f>
        <v>31.066910420482376</v>
      </c>
      <c r="X203" s="7">
        <f>100-(N$436-Tabell2[[#This Row],[Beftettland-T]])*100/N$439</f>
        <v>3.3492400660750974</v>
      </c>
      <c r="Y203" s="7">
        <f>100-(O$436-Tabell2[[#This Row],[Beftettotal-T]])*100/O$439</f>
        <v>3.2655751586284083</v>
      </c>
      <c r="Z203" s="7">
        <f>100-(P$436-Tabell2[[#This Row],[Befvekst10-T]])*100/P$439</f>
        <v>53.224761607739218</v>
      </c>
      <c r="AA203" s="7">
        <f>100-(Q$436-Tabell2[[#This Row],[Kvinneandel-T]])*100/Q$439</f>
        <v>43.138064102935871</v>
      </c>
      <c r="AB203" s="7">
        <f>(R$436-Tabell2[[#This Row],[Eldreandel-T]])*100/R$439</f>
        <v>61.682781338196598</v>
      </c>
      <c r="AC203" s="7">
        <f>100-(S$436-Tabell2[[#This Row],[Sysselsettingsvekst10-T]])*100/S$439</f>
        <v>66.519691461725145</v>
      </c>
      <c r="AD203" s="7">
        <f>100-(T$436-Tabell2[[#This Row],[Yrkesaktivandel-T]])*100/T$439</f>
        <v>78.455402234834253</v>
      </c>
      <c r="AE203" s="7">
        <f>100-(U$436-Tabell2[[#This Row],[Inntekt-T]])*100/U$439</f>
        <v>69.168265432795394</v>
      </c>
      <c r="AF203" s="7">
        <v>6</v>
      </c>
      <c r="AG203" s="7">
        <v>3.1066910420482379</v>
      </c>
      <c r="AH203" s="7">
        <v>0.32655751586284087</v>
      </c>
      <c r="AI203" s="7">
        <v>10.644952321547844</v>
      </c>
      <c r="AJ203" s="7">
        <v>2.1569032051467936</v>
      </c>
      <c r="AK203" s="7">
        <v>3.0841390669098301</v>
      </c>
      <c r="AL203" s="7">
        <v>6.6519691461725152</v>
      </c>
      <c r="AM203" s="7">
        <v>7.8455402234834253</v>
      </c>
      <c r="AN203" s="7">
        <v>6.9168265432795399</v>
      </c>
      <c r="AO20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46.733579064451035</v>
      </c>
    </row>
    <row r="204" spans="1:41" x14ac:dyDescent="0.3">
      <c r="A204" s="2" t="s">
        <v>201</v>
      </c>
      <c r="B204">
        <f>'Rådata-K'!N203</f>
        <v>4</v>
      </c>
      <c r="C204" s="7">
        <f>'Rådata-K'!M203</f>
        <v>179.46666666670001</v>
      </c>
      <c r="D204" s="24">
        <f>'Rådata-K'!O203</f>
        <v>24.940914158305464</v>
      </c>
      <c r="E204" s="24">
        <f>'Rådata-K'!P203</f>
        <v>22.722840659787114</v>
      </c>
      <c r="F204" s="24">
        <f>'Rådata-K'!Q203</f>
        <v>0.17821782178217815</v>
      </c>
      <c r="G204" s="24">
        <f>'Rådata-K'!R203</f>
        <v>0.1196138029679957</v>
      </c>
      <c r="H204" s="24">
        <f>'Rådata-K'!S203</f>
        <v>0.12712318970141248</v>
      </c>
      <c r="I204" s="24">
        <f>'Rådata-K'!T203</f>
        <v>0.30017301038062283</v>
      </c>
      <c r="J204" s="24">
        <f>'Rådata-K'!U203</f>
        <v>0.87092651757188499</v>
      </c>
      <c r="K204" s="24">
        <f>'Rådata-K'!L203</f>
        <v>411600</v>
      </c>
      <c r="L204" s="24">
        <f>Tabell2[[#This Row],[NIBR11]]</f>
        <v>4</v>
      </c>
      <c r="M204" s="24">
        <f>IF(Tabell2[[#This Row],[ReisetidOslo]]&lt;=C$434,C$434,IF(Tabell2[[#This Row],[ReisetidOslo]]&gt;=C$435,C$435,Tabell2[[#This Row],[ReisetidOslo]]))</f>
        <v>179.46666666670001</v>
      </c>
      <c r="N204" s="24">
        <f>IF(Tabell2[[#This Row],[Beftettland]]&lt;=D$434,D$434,IF(Tabell2[[#This Row],[Beftettland]]&gt;=D$435,D$435,Tabell2[[#This Row],[Beftettland]]))</f>
        <v>24.940914158305464</v>
      </c>
      <c r="O204" s="24">
        <f>IF(Tabell2[[#This Row],[Beftettotal]]&lt;=E$434,E$434,IF(Tabell2[[#This Row],[Beftettotal]]&gt;=E$435,E$435,Tabell2[[#This Row],[Beftettotal]]))</f>
        <v>22.722840659787114</v>
      </c>
      <c r="P204" s="24">
        <f>IF(Tabell2[[#This Row],[Befvekst10]]&lt;=F$434,F$434,IF(Tabell2[[#This Row],[Befvekst10]]&gt;=F$435,F$435,Tabell2[[#This Row],[Befvekst10]]))</f>
        <v>0.17599648151968622</v>
      </c>
      <c r="Q204" s="24">
        <f>IF(Tabell2[[#This Row],[Kvinneandel]]&lt;=G$434,G$434,IF(Tabell2[[#This Row],[Kvinneandel]]&gt;=G$435,G$435,Tabell2[[#This Row],[Kvinneandel]]))</f>
        <v>0.1196138029679957</v>
      </c>
      <c r="R204" s="24">
        <f>IF(Tabell2[[#This Row],[Eldreandel]]&lt;=H$434,H$434,IF(Tabell2[[#This Row],[Eldreandel]]&gt;=H$435,H$435,Tabell2[[#This Row],[Eldreandel]]))</f>
        <v>0.12767243783057225</v>
      </c>
      <c r="S204" s="24">
        <f>IF(Tabell2[[#This Row],[Sysselsettingsvekst10]]&lt;=I$434,I$434,IF(Tabell2[[#This Row],[Sysselsettingsvekst10]]&gt;=I$435,I$435,Tabell2[[#This Row],[Sysselsettingsvekst10]]))</f>
        <v>0.21384805931725109</v>
      </c>
      <c r="T204" s="24">
        <f>IF(Tabell2[[#This Row],[Yrkesaktivandel]]&lt;=J$434,J$434,IF(Tabell2[[#This Row],[Yrkesaktivandel]]&gt;=J$435,J$435,Tabell2[[#This Row],[Yrkesaktivandel]]))</f>
        <v>0.87092651757188499</v>
      </c>
      <c r="U204" s="24">
        <f>IF(Tabell2[[#This Row],[Inntekt]]&lt;=K$434,K$434,IF(Tabell2[[#This Row],[Inntekt]]&gt;=K$435,K$435,Tabell2[[#This Row],[Inntekt]]))</f>
        <v>411600</v>
      </c>
      <c r="V204" s="7">
        <f>IF(Tabell2[[#This Row],[NIBR11-T]]&lt;=L$437,100,IF(Tabell2[[#This Row],[NIBR11-T]]&gt;=L$436,0,100*(L$436-Tabell2[[#This Row],[NIBR11-T]])/L$439))</f>
        <v>70</v>
      </c>
      <c r="W204" s="7">
        <f>(M$436-Tabell2[[#This Row],[ReisetidOslo-T]])*100/M$439</f>
        <v>44.310054844598014</v>
      </c>
      <c r="X204" s="7">
        <f>100-(N$436-Tabell2[[#This Row],[Beftettland-T]])*100/N$439</f>
        <v>17.41142173332932</v>
      </c>
      <c r="Y204" s="7">
        <f>100-(O$436-Tabell2[[#This Row],[Beftettotal-T]])*100/O$439</f>
        <v>16.384042094121639</v>
      </c>
      <c r="Z204" s="7">
        <f>100-(P$436-Tabell2[[#This Row],[Befvekst10-T]])*100/P$439</f>
        <v>100</v>
      </c>
      <c r="AA204" s="7">
        <f>100-(Q$436-Tabell2[[#This Row],[Kvinneandel-T]])*100/Q$439</f>
        <v>79.053244504442119</v>
      </c>
      <c r="AB204" s="7">
        <f>(R$436-Tabell2[[#This Row],[Eldreandel-T]])*100/R$439</f>
        <v>100</v>
      </c>
      <c r="AC204" s="7">
        <f>100-(S$436-Tabell2[[#This Row],[Sysselsettingsvekst10-T]])*100/S$439</f>
        <v>100</v>
      </c>
      <c r="AD204" s="7">
        <f>100-(T$436-Tabell2[[#This Row],[Yrkesaktivandel-T]])*100/T$439</f>
        <v>50.81095490833625</v>
      </c>
      <c r="AE204" s="7">
        <f>100-(U$436-Tabell2[[#This Row],[Inntekt-T]])*100/U$439</f>
        <v>75.826656133619224</v>
      </c>
      <c r="AF204" s="7">
        <v>14</v>
      </c>
      <c r="AG204" s="7">
        <v>4.4310054844598019</v>
      </c>
      <c r="AH204" s="7">
        <v>1.638404209412164</v>
      </c>
      <c r="AI204" s="7">
        <v>20</v>
      </c>
      <c r="AJ204" s="7">
        <v>3.952662225222106</v>
      </c>
      <c r="AK204" s="7">
        <v>5</v>
      </c>
      <c r="AL204" s="7">
        <v>10</v>
      </c>
      <c r="AM204" s="7">
        <v>5.0810954908336257</v>
      </c>
      <c r="AN204" s="7">
        <v>7.5826656133619226</v>
      </c>
      <c r="AO20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71.685833023289618</v>
      </c>
    </row>
    <row r="205" spans="1:41" x14ac:dyDescent="0.3">
      <c r="A205" s="2" t="s">
        <v>202</v>
      </c>
      <c r="B205">
        <f>'Rådata-K'!N204</f>
        <v>6</v>
      </c>
      <c r="C205" s="7">
        <f>'Rådata-K'!M204</f>
        <v>189.48333333329998</v>
      </c>
      <c r="D205" s="24">
        <f>'Rådata-K'!O204</f>
        <v>50.027609055770291</v>
      </c>
      <c r="E205" s="24">
        <f>'Rådata-K'!P204</f>
        <v>47.769305645684618</v>
      </c>
      <c r="F205" s="24">
        <f>'Rådata-K'!Q204</f>
        <v>8.9748334566987387E-2</v>
      </c>
      <c r="G205" s="24">
        <f>'Rådata-K'!R204</f>
        <v>0.11462047885888946</v>
      </c>
      <c r="H205" s="24">
        <f>'Rådata-K'!S204</f>
        <v>0.13873323144846322</v>
      </c>
      <c r="I205" s="24">
        <f>'Rådata-K'!T204</f>
        <v>8.6663568773234223E-2</v>
      </c>
      <c r="J205" s="24">
        <f>'Rådata-K'!U204</f>
        <v>0.87568976088289396</v>
      </c>
      <c r="K205" s="24">
        <f>'Rådata-K'!L204</f>
        <v>427900</v>
      </c>
      <c r="L205" s="24">
        <f>Tabell2[[#This Row],[NIBR11]]</f>
        <v>6</v>
      </c>
      <c r="M205" s="24">
        <f>IF(Tabell2[[#This Row],[ReisetidOslo]]&lt;=C$434,C$434,IF(Tabell2[[#This Row],[ReisetidOslo]]&gt;=C$435,C$435,Tabell2[[#This Row],[ReisetidOslo]]))</f>
        <v>189.48333333329998</v>
      </c>
      <c r="N205" s="24">
        <f>IF(Tabell2[[#This Row],[Beftettland]]&lt;=D$434,D$434,IF(Tabell2[[#This Row],[Beftettland]]&gt;=D$435,D$435,Tabell2[[#This Row],[Beftettland]]))</f>
        <v>50.027609055770291</v>
      </c>
      <c r="O205" s="24">
        <f>IF(Tabell2[[#This Row],[Beftettotal]]&lt;=E$434,E$434,IF(Tabell2[[#This Row],[Beftettotal]]&gt;=E$435,E$435,Tabell2[[#This Row],[Beftettotal]]))</f>
        <v>47.769305645684618</v>
      </c>
      <c r="P205" s="24">
        <f>IF(Tabell2[[#This Row],[Befvekst10]]&lt;=F$434,F$434,IF(Tabell2[[#This Row],[Befvekst10]]&gt;=F$435,F$435,Tabell2[[#This Row],[Befvekst10]]))</f>
        <v>8.9748334566987387E-2</v>
      </c>
      <c r="Q205" s="24">
        <f>IF(Tabell2[[#This Row],[Kvinneandel]]&lt;=G$434,G$434,IF(Tabell2[[#This Row],[Kvinneandel]]&gt;=G$435,G$435,Tabell2[[#This Row],[Kvinneandel]]))</f>
        <v>0.11462047885888946</v>
      </c>
      <c r="R205" s="24">
        <f>IF(Tabell2[[#This Row],[Eldreandel]]&lt;=H$434,H$434,IF(Tabell2[[#This Row],[Eldreandel]]&gt;=H$435,H$435,Tabell2[[#This Row],[Eldreandel]]))</f>
        <v>0.13873323144846322</v>
      </c>
      <c r="S205" s="24">
        <f>IF(Tabell2[[#This Row],[Sysselsettingsvekst10]]&lt;=I$434,I$434,IF(Tabell2[[#This Row],[Sysselsettingsvekst10]]&gt;=I$435,I$435,Tabell2[[#This Row],[Sysselsettingsvekst10]]))</f>
        <v>8.6663568773234223E-2</v>
      </c>
      <c r="T205" s="24">
        <f>IF(Tabell2[[#This Row],[Yrkesaktivandel]]&lt;=J$434,J$434,IF(Tabell2[[#This Row],[Yrkesaktivandel]]&gt;=J$435,J$435,Tabell2[[#This Row],[Yrkesaktivandel]]))</f>
        <v>0.87568976088289396</v>
      </c>
      <c r="U205" s="24">
        <f>IF(Tabell2[[#This Row],[Inntekt]]&lt;=K$434,K$434,IF(Tabell2[[#This Row],[Inntekt]]&gt;=K$435,K$435,Tabell2[[#This Row],[Inntekt]]))</f>
        <v>427900</v>
      </c>
      <c r="V205" s="7">
        <f>IF(Tabell2[[#This Row],[NIBR11-T]]&lt;=L$437,100,IF(Tabell2[[#This Row],[NIBR11-T]]&gt;=L$436,0,100*(L$436-Tabell2[[#This Row],[NIBR11-T]])/L$439))</f>
        <v>50</v>
      </c>
      <c r="W205" s="7">
        <f>(M$436-Tabell2[[#This Row],[ReisetidOslo-T]])*100/M$439</f>
        <v>39.915173674609456</v>
      </c>
      <c r="X205" s="7">
        <f>100-(N$436-Tabell2[[#This Row],[Beftettland-T]])*100/N$439</f>
        <v>35.968143871458395</v>
      </c>
      <c r="Y205" s="7">
        <f>100-(O$436-Tabell2[[#This Row],[Beftettotal-T]])*100/O$439</f>
        <v>35.555572322855824</v>
      </c>
      <c r="Z205" s="7">
        <f>100-(P$436-Tabell2[[#This Row],[Befvekst10-T]])*100/P$439</f>
        <v>65.090109329686882</v>
      </c>
      <c r="AA205" s="7">
        <f>100-(Q$436-Tabell2[[#This Row],[Kvinneandel-T]])*100/Q$439</f>
        <v>65.9355160695753</v>
      </c>
      <c r="AB205" s="7">
        <f>(R$436-Tabell2[[#This Row],[Eldreandel-T]])*100/R$439</f>
        <v>88.062585021675929</v>
      </c>
      <c r="AC205" s="7">
        <f>100-(S$436-Tabell2[[#This Row],[Sysselsettingsvekst10-T]])*100/S$439</f>
        <v>58.493176064229488</v>
      </c>
      <c r="AD205" s="7">
        <f>100-(T$436-Tabell2[[#This Row],[Yrkesaktivandel-T]])*100/T$439</f>
        <v>54.170440990338108</v>
      </c>
      <c r="AE205" s="7">
        <f>100-(U$436-Tabell2[[#This Row],[Inntekt-T]])*100/U$439</f>
        <v>94.221871120641012</v>
      </c>
      <c r="AF205" s="7">
        <v>10</v>
      </c>
      <c r="AG205" s="7">
        <v>3.9915173674609457</v>
      </c>
      <c r="AH205" s="7">
        <v>3.5555572322855826</v>
      </c>
      <c r="AI205" s="7">
        <v>13.018021865937378</v>
      </c>
      <c r="AJ205" s="7">
        <v>3.2967758034787651</v>
      </c>
      <c r="AK205" s="7">
        <v>4.4031292510837963</v>
      </c>
      <c r="AL205" s="7">
        <v>5.8493176064229493</v>
      </c>
      <c r="AM205" s="7">
        <v>5.4170440990338111</v>
      </c>
      <c r="AN205" s="7">
        <v>9.4221871120641012</v>
      </c>
      <c r="AO20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58.953550337767325</v>
      </c>
    </row>
    <row r="206" spans="1:41" x14ac:dyDescent="0.3">
      <c r="A206" s="2" t="s">
        <v>203</v>
      </c>
      <c r="B206">
        <f>'Rådata-K'!N205</f>
        <v>6</v>
      </c>
      <c r="C206" s="7">
        <f>'Rådata-K'!M205</f>
        <v>172.3333333333</v>
      </c>
      <c r="D206" s="24">
        <f>'Rådata-K'!O205</f>
        <v>136.65477836814907</v>
      </c>
      <c r="E206" s="24">
        <f>'Rådata-K'!P205</f>
        <v>130.65414057063327</v>
      </c>
      <c r="F206" s="24">
        <f>'Rådata-K'!Q205</f>
        <v>0.1254645725932142</v>
      </c>
      <c r="G206" s="24">
        <f>'Rådata-K'!R205</f>
        <v>0.12431424766977364</v>
      </c>
      <c r="H206" s="24">
        <f>'Rådata-K'!S205</f>
        <v>0.12974700399467376</v>
      </c>
      <c r="I206" s="24">
        <f>'Rådata-K'!T205</f>
        <v>0.10542617873121496</v>
      </c>
      <c r="J206" s="24">
        <f>'Rådata-K'!U205</f>
        <v>0.85930996207566368</v>
      </c>
      <c r="K206" s="24">
        <f>'Rådata-K'!L205</f>
        <v>424300</v>
      </c>
      <c r="L206" s="24">
        <f>Tabell2[[#This Row],[NIBR11]]</f>
        <v>6</v>
      </c>
      <c r="M206" s="24">
        <f>IF(Tabell2[[#This Row],[ReisetidOslo]]&lt;=C$434,C$434,IF(Tabell2[[#This Row],[ReisetidOslo]]&gt;=C$435,C$435,Tabell2[[#This Row],[ReisetidOslo]]))</f>
        <v>172.3333333333</v>
      </c>
      <c r="N206" s="24">
        <f>IF(Tabell2[[#This Row],[Beftettland]]&lt;=D$434,D$434,IF(Tabell2[[#This Row],[Beftettland]]&gt;=D$435,D$435,Tabell2[[#This Row],[Beftettland]]))</f>
        <v>136.59179999736304</v>
      </c>
      <c r="O206" s="24">
        <f>IF(Tabell2[[#This Row],[Beftettotal]]&lt;=E$434,E$434,IF(Tabell2[[#This Row],[Beftettotal]]&gt;=E$435,E$435,Tabell2[[#This Row],[Beftettotal]]))</f>
        <v>130.65414057063327</v>
      </c>
      <c r="P206" s="24">
        <f>IF(Tabell2[[#This Row],[Befvekst10]]&lt;=F$434,F$434,IF(Tabell2[[#This Row],[Befvekst10]]&gt;=F$435,F$435,Tabell2[[#This Row],[Befvekst10]]))</f>
        <v>0.1254645725932142</v>
      </c>
      <c r="Q206" s="24">
        <f>IF(Tabell2[[#This Row],[Kvinneandel]]&lt;=G$434,G$434,IF(Tabell2[[#This Row],[Kvinneandel]]&gt;=G$435,G$435,Tabell2[[#This Row],[Kvinneandel]]))</f>
        <v>0.12431424766977364</v>
      </c>
      <c r="R206" s="24">
        <f>IF(Tabell2[[#This Row],[Eldreandel]]&lt;=H$434,H$434,IF(Tabell2[[#This Row],[Eldreandel]]&gt;=H$435,H$435,Tabell2[[#This Row],[Eldreandel]]))</f>
        <v>0.12974700399467376</v>
      </c>
      <c r="S206" s="24">
        <f>IF(Tabell2[[#This Row],[Sysselsettingsvekst10]]&lt;=I$434,I$434,IF(Tabell2[[#This Row],[Sysselsettingsvekst10]]&gt;=I$435,I$435,Tabell2[[#This Row],[Sysselsettingsvekst10]]))</f>
        <v>0.10542617873121496</v>
      </c>
      <c r="T206" s="24">
        <f>IF(Tabell2[[#This Row],[Yrkesaktivandel]]&lt;=J$434,J$434,IF(Tabell2[[#This Row],[Yrkesaktivandel]]&gt;=J$435,J$435,Tabell2[[#This Row],[Yrkesaktivandel]]))</f>
        <v>0.85930996207566368</v>
      </c>
      <c r="U206" s="24">
        <f>IF(Tabell2[[#This Row],[Inntekt]]&lt;=K$434,K$434,IF(Tabell2[[#This Row],[Inntekt]]&gt;=K$435,K$435,Tabell2[[#This Row],[Inntekt]]))</f>
        <v>424300</v>
      </c>
      <c r="V206" s="7">
        <f>IF(Tabell2[[#This Row],[NIBR11-T]]&lt;=L$437,100,IF(Tabell2[[#This Row],[NIBR11-T]]&gt;=L$436,0,100*(L$436-Tabell2[[#This Row],[NIBR11-T]])/L$439))</f>
        <v>50</v>
      </c>
      <c r="W206" s="7">
        <f>(M$436-Tabell2[[#This Row],[ReisetidOslo-T]])*100/M$439</f>
        <v>47.439853747734809</v>
      </c>
      <c r="X206" s="7">
        <f>100-(N$436-Tabell2[[#This Row],[Beftettland-T]])*100/N$439</f>
        <v>100</v>
      </c>
      <c r="Y206" s="7">
        <f>100-(O$436-Tabell2[[#This Row],[Beftettotal-T]])*100/O$439</f>
        <v>98.998821466477636</v>
      </c>
      <c r="Z206" s="7">
        <f>100-(P$436-Tabell2[[#This Row],[Befvekst10-T]])*100/P$439</f>
        <v>79.546651397011175</v>
      </c>
      <c r="AA206" s="7">
        <f>100-(Q$436-Tabell2[[#This Row],[Kvinneandel-T]])*100/Q$439</f>
        <v>91.401563134227175</v>
      </c>
      <c r="AB206" s="7">
        <f>(R$436-Tabell2[[#This Row],[Eldreandel-T]])*100/R$439</f>
        <v>97.761014439252165</v>
      </c>
      <c r="AC206" s="7">
        <f>100-(S$436-Tabell2[[#This Row],[Sysselsettingsvekst10-T]])*100/S$439</f>
        <v>64.616378231178587</v>
      </c>
      <c r="AD206" s="7">
        <f>100-(T$436-Tabell2[[#This Row],[Yrkesaktivandel-T]])*100/T$439</f>
        <v>42.617870078896559</v>
      </c>
      <c r="AE206" s="7">
        <f>100-(U$436-Tabell2[[#This Row],[Inntekt-T]])*100/U$439</f>
        <v>90.159124252341726</v>
      </c>
      <c r="AF206" s="7">
        <v>10</v>
      </c>
      <c r="AG206" s="7">
        <v>4.743985374773481</v>
      </c>
      <c r="AH206" s="7">
        <v>9.899882146647764</v>
      </c>
      <c r="AI206" s="7">
        <v>15.909330279402235</v>
      </c>
      <c r="AJ206" s="7">
        <v>4.5700781567113591</v>
      </c>
      <c r="AK206" s="7">
        <v>4.8880507219626086</v>
      </c>
      <c r="AL206" s="7">
        <v>6.4616378231178588</v>
      </c>
      <c r="AM206" s="7">
        <v>4.261787007889656</v>
      </c>
      <c r="AN206" s="7">
        <v>9.0159124252341734</v>
      </c>
      <c r="AO20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69.750663935739141</v>
      </c>
    </row>
    <row r="207" spans="1:41" x14ac:dyDescent="0.3">
      <c r="A207" s="2" t="s">
        <v>204</v>
      </c>
      <c r="B207">
        <f>'Rådata-K'!N206</f>
        <v>6</v>
      </c>
      <c r="C207" s="7">
        <f>'Rådata-K'!M206</f>
        <v>176.25</v>
      </c>
      <c r="D207" s="24">
        <f>'Rådata-K'!O206</f>
        <v>23.354406842692452</v>
      </c>
      <c r="E207" s="24">
        <f>'Rådata-K'!P206</f>
        <v>22.045917292705191</v>
      </c>
      <c r="F207" s="24">
        <f>'Rådata-K'!Q206</f>
        <v>8.2385384350224022E-2</v>
      </c>
      <c r="G207" s="24">
        <f>'Rådata-K'!R206</f>
        <v>0.11019108280254777</v>
      </c>
      <c r="H207" s="24">
        <f>'Rådata-K'!S206</f>
        <v>0.13089171974522293</v>
      </c>
      <c r="I207" s="24">
        <f>'Rådata-K'!T206</f>
        <v>5.3649956024626189E-2</v>
      </c>
      <c r="J207" s="24">
        <f>'Rådata-K'!U206</f>
        <v>0.87885586090858103</v>
      </c>
      <c r="K207" s="24">
        <f>'Rådata-K'!L206</f>
        <v>429000</v>
      </c>
      <c r="L207" s="24">
        <f>Tabell2[[#This Row],[NIBR11]]</f>
        <v>6</v>
      </c>
      <c r="M207" s="24">
        <f>IF(Tabell2[[#This Row],[ReisetidOslo]]&lt;=C$434,C$434,IF(Tabell2[[#This Row],[ReisetidOslo]]&gt;=C$435,C$435,Tabell2[[#This Row],[ReisetidOslo]]))</f>
        <v>176.25</v>
      </c>
      <c r="N207" s="24">
        <f>IF(Tabell2[[#This Row],[Beftettland]]&lt;=D$434,D$434,IF(Tabell2[[#This Row],[Beftettland]]&gt;=D$435,D$435,Tabell2[[#This Row],[Beftettland]]))</f>
        <v>23.354406842692452</v>
      </c>
      <c r="O207" s="24">
        <f>IF(Tabell2[[#This Row],[Beftettotal]]&lt;=E$434,E$434,IF(Tabell2[[#This Row],[Beftettotal]]&gt;=E$435,E$435,Tabell2[[#This Row],[Beftettotal]]))</f>
        <v>22.045917292705191</v>
      </c>
      <c r="P207" s="24">
        <f>IF(Tabell2[[#This Row],[Befvekst10]]&lt;=F$434,F$434,IF(Tabell2[[#This Row],[Befvekst10]]&gt;=F$435,F$435,Tabell2[[#This Row],[Befvekst10]]))</f>
        <v>8.2385384350224022E-2</v>
      </c>
      <c r="Q207" s="24">
        <f>IF(Tabell2[[#This Row],[Kvinneandel]]&lt;=G$434,G$434,IF(Tabell2[[#This Row],[Kvinneandel]]&gt;=G$435,G$435,Tabell2[[#This Row],[Kvinneandel]]))</f>
        <v>0.11019108280254777</v>
      </c>
      <c r="R207" s="24">
        <f>IF(Tabell2[[#This Row],[Eldreandel]]&lt;=H$434,H$434,IF(Tabell2[[#This Row],[Eldreandel]]&gt;=H$435,H$435,Tabell2[[#This Row],[Eldreandel]]))</f>
        <v>0.13089171974522293</v>
      </c>
      <c r="S207" s="24">
        <f>IF(Tabell2[[#This Row],[Sysselsettingsvekst10]]&lt;=I$434,I$434,IF(Tabell2[[#This Row],[Sysselsettingsvekst10]]&gt;=I$435,I$435,Tabell2[[#This Row],[Sysselsettingsvekst10]]))</f>
        <v>5.3649956024626189E-2</v>
      </c>
      <c r="T207" s="24">
        <f>IF(Tabell2[[#This Row],[Yrkesaktivandel]]&lt;=J$434,J$434,IF(Tabell2[[#This Row],[Yrkesaktivandel]]&gt;=J$435,J$435,Tabell2[[#This Row],[Yrkesaktivandel]]))</f>
        <v>0.87885586090858103</v>
      </c>
      <c r="U207" s="24">
        <f>IF(Tabell2[[#This Row],[Inntekt]]&lt;=K$434,K$434,IF(Tabell2[[#This Row],[Inntekt]]&gt;=K$435,K$435,Tabell2[[#This Row],[Inntekt]]))</f>
        <v>429000</v>
      </c>
      <c r="V207" s="7">
        <f>IF(Tabell2[[#This Row],[NIBR11-T]]&lt;=L$437,100,IF(Tabell2[[#This Row],[NIBR11-T]]&gt;=L$436,0,100*(L$436-Tabell2[[#This Row],[NIBR11-T]])/L$439))</f>
        <v>50</v>
      </c>
      <c r="W207" s="7">
        <f>(M$436-Tabell2[[#This Row],[ReisetidOslo-T]])*100/M$439</f>
        <v>45.721389396714883</v>
      </c>
      <c r="X207" s="7">
        <f>100-(N$436-Tabell2[[#This Row],[Beftettland-T]])*100/N$439</f>
        <v>16.237876332220509</v>
      </c>
      <c r="Y207" s="7">
        <f>100-(O$436-Tabell2[[#This Row],[Beftettotal-T]])*100/O$439</f>
        <v>15.865898843093802</v>
      </c>
      <c r="Z207" s="7">
        <f>100-(P$436-Tabell2[[#This Row],[Befvekst10-T]])*100/P$439</f>
        <v>62.109873856116231</v>
      </c>
      <c r="AA207" s="7">
        <f>100-(Q$436-Tabell2[[#This Row],[Kvinneandel-T]])*100/Q$439</f>
        <v>54.299256670431227</v>
      </c>
      <c r="AB207" s="7">
        <f>(R$436-Tabell2[[#This Row],[Eldreandel-T]])*100/R$439</f>
        <v>96.525574432087936</v>
      </c>
      <c r="AC207" s="7">
        <f>100-(S$436-Tabell2[[#This Row],[Sysselsettingsvekst10-T]])*100/S$439</f>
        <v>47.719140598278209</v>
      </c>
      <c r="AD207" s="7">
        <f>100-(T$436-Tabell2[[#This Row],[Yrkesaktivandel-T]])*100/T$439</f>
        <v>56.403471779661437</v>
      </c>
      <c r="AE207" s="7">
        <f>100-(U$436-Tabell2[[#This Row],[Inntekt-T]])*100/U$439</f>
        <v>95.46326599706579</v>
      </c>
      <c r="AF207" s="7">
        <v>10</v>
      </c>
      <c r="AG207" s="7">
        <v>4.5721389396714889</v>
      </c>
      <c r="AH207" s="7">
        <v>1.5865898843093804</v>
      </c>
      <c r="AI207" s="7">
        <v>12.421974771223248</v>
      </c>
      <c r="AJ207" s="7">
        <v>2.7149628335215614</v>
      </c>
      <c r="AK207" s="7">
        <v>4.826278721604397</v>
      </c>
      <c r="AL207" s="7">
        <v>4.7719140598278207</v>
      </c>
      <c r="AM207" s="7">
        <v>5.6403471779661443</v>
      </c>
      <c r="AN207" s="7">
        <v>9.54632659970658</v>
      </c>
      <c r="AO20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56.080532987830622</v>
      </c>
    </row>
    <row r="208" spans="1:41" x14ac:dyDescent="0.3">
      <c r="A208" s="2" t="s">
        <v>205</v>
      </c>
      <c r="B208">
        <f>'Rådata-K'!N207</f>
        <v>6</v>
      </c>
      <c r="C208" s="7">
        <f>'Rådata-K'!M207</f>
        <v>204.6666666667</v>
      </c>
      <c r="D208" s="24">
        <f>'Rådata-K'!O207</f>
        <v>11.408410490679938</v>
      </c>
      <c r="E208" s="24">
        <f>'Rådata-K'!P207</f>
        <v>10.963897926384698</v>
      </c>
      <c r="F208" s="24">
        <f>'Rådata-K'!Q207</f>
        <v>7.1556350626122978E-4</v>
      </c>
      <c r="G208" s="24">
        <f>'Rådata-K'!R207</f>
        <v>9.7247050411154806E-2</v>
      </c>
      <c r="H208" s="24">
        <f>'Rådata-K'!S207</f>
        <v>0.21523060421880585</v>
      </c>
      <c r="I208" s="24">
        <f>'Rådata-K'!T207</f>
        <v>0.15615305067218199</v>
      </c>
      <c r="J208" s="24">
        <f>'Rådata-K'!U207</f>
        <v>0.90235690235690236</v>
      </c>
      <c r="K208" s="24">
        <f>'Rådata-K'!L207</f>
        <v>403700</v>
      </c>
      <c r="L208" s="24">
        <f>Tabell2[[#This Row],[NIBR11]]</f>
        <v>6</v>
      </c>
      <c r="M208" s="24">
        <f>IF(Tabell2[[#This Row],[ReisetidOslo]]&lt;=C$434,C$434,IF(Tabell2[[#This Row],[ReisetidOslo]]&gt;=C$435,C$435,Tabell2[[#This Row],[ReisetidOslo]]))</f>
        <v>204.6666666667</v>
      </c>
      <c r="N208" s="24">
        <f>IF(Tabell2[[#This Row],[Beftettland]]&lt;=D$434,D$434,IF(Tabell2[[#This Row],[Beftettland]]&gt;=D$435,D$435,Tabell2[[#This Row],[Beftettland]]))</f>
        <v>11.408410490679938</v>
      </c>
      <c r="O208" s="24">
        <f>IF(Tabell2[[#This Row],[Beftettotal]]&lt;=E$434,E$434,IF(Tabell2[[#This Row],[Beftettotal]]&gt;=E$435,E$435,Tabell2[[#This Row],[Beftettotal]]))</f>
        <v>10.963897926384698</v>
      </c>
      <c r="P208" s="24">
        <f>IF(Tabell2[[#This Row],[Befvekst10]]&lt;=F$434,F$434,IF(Tabell2[[#This Row],[Befvekst10]]&gt;=F$435,F$435,Tabell2[[#This Row],[Befvekst10]]))</f>
        <v>7.1556350626122978E-4</v>
      </c>
      <c r="Q208" s="24">
        <f>IF(Tabell2[[#This Row],[Kvinneandel]]&lt;=G$434,G$434,IF(Tabell2[[#This Row],[Kvinneandel]]&gt;=G$435,G$435,Tabell2[[#This Row],[Kvinneandel]]))</f>
        <v>9.7247050411154806E-2</v>
      </c>
      <c r="R208" s="24">
        <f>IF(Tabell2[[#This Row],[Eldreandel]]&lt;=H$434,H$434,IF(Tabell2[[#This Row],[Eldreandel]]&gt;=H$435,H$435,Tabell2[[#This Row],[Eldreandel]]))</f>
        <v>0.21523060421880585</v>
      </c>
      <c r="S208" s="24">
        <f>IF(Tabell2[[#This Row],[Sysselsettingsvekst10]]&lt;=I$434,I$434,IF(Tabell2[[#This Row],[Sysselsettingsvekst10]]&gt;=I$435,I$435,Tabell2[[#This Row],[Sysselsettingsvekst10]]))</f>
        <v>0.15615305067218199</v>
      </c>
      <c r="T208" s="24">
        <f>IF(Tabell2[[#This Row],[Yrkesaktivandel]]&lt;=J$434,J$434,IF(Tabell2[[#This Row],[Yrkesaktivandel]]&gt;=J$435,J$435,Tabell2[[#This Row],[Yrkesaktivandel]]))</f>
        <v>0.90235690235690236</v>
      </c>
      <c r="U208" s="24">
        <f>IF(Tabell2[[#This Row],[Inntekt]]&lt;=K$434,K$434,IF(Tabell2[[#This Row],[Inntekt]]&gt;=K$435,K$435,Tabell2[[#This Row],[Inntekt]]))</f>
        <v>403700</v>
      </c>
      <c r="V208" s="7">
        <f>IF(Tabell2[[#This Row],[NIBR11-T]]&lt;=L$437,100,IF(Tabell2[[#This Row],[NIBR11-T]]&gt;=L$436,0,100*(L$436-Tabell2[[#This Row],[NIBR11-T]])/L$439))</f>
        <v>50</v>
      </c>
      <c r="W208" s="7">
        <f>(M$436-Tabell2[[#This Row],[ReisetidOslo-T]])*100/M$439</f>
        <v>33.253382084087278</v>
      </c>
      <c r="X208" s="7">
        <f>100-(N$436-Tabell2[[#This Row],[Beftettland-T]])*100/N$439</f>
        <v>7.4013781058319097</v>
      </c>
      <c r="Y208" s="7">
        <f>100-(O$436-Tabell2[[#This Row],[Beftettotal-T]])*100/O$439</f>
        <v>7.3832938369000516</v>
      </c>
      <c r="Z208" s="7">
        <f>100-(P$436-Tabell2[[#This Row],[Befvekst10-T]])*100/P$439</f>
        <v>29.053111276736715</v>
      </c>
      <c r="AA208" s="7">
        <f>100-(Q$436-Tabell2[[#This Row],[Kvinneandel-T]])*100/Q$439</f>
        <v>20.294594034421294</v>
      </c>
      <c r="AB208" s="7">
        <f>(R$436-Tabell2[[#This Row],[Eldreandel-T]])*100/R$439</f>
        <v>5.5024256824720075</v>
      </c>
      <c r="AC208" s="7">
        <f>100-(S$436-Tabell2[[#This Row],[Sysselsettingsvekst10-T]])*100/S$439</f>
        <v>81.17115887668038</v>
      </c>
      <c r="AD208" s="7">
        <f>100-(T$436-Tabell2[[#This Row],[Yrkesaktivandel-T]])*100/T$439</f>
        <v>72.97861113391383</v>
      </c>
      <c r="AE208" s="7">
        <f>100-(U$436-Tabell2[[#This Row],[Inntekt-T]])*100/U$439</f>
        <v>66.911183839295788</v>
      </c>
      <c r="AF208" s="7">
        <v>10</v>
      </c>
      <c r="AG208" s="7">
        <v>3.325338208408728</v>
      </c>
      <c r="AH208" s="7">
        <v>0.73832938369000523</v>
      </c>
      <c r="AI208" s="7">
        <v>5.8106222553473437</v>
      </c>
      <c r="AJ208" s="7">
        <v>1.0147297017210648</v>
      </c>
      <c r="AK208" s="7">
        <v>0.27512128412360037</v>
      </c>
      <c r="AL208" s="7">
        <v>8.1171158876680387</v>
      </c>
      <c r="AM208" s="7">
        <v>7.2978611133913835</v>
      </c>
      <c r="AN208" s="7">
        <v>6.6911183839295791</v>
      </c>
      <c r="AO20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43.270236218279742</v>
      </c>
    </row>
    <row r="209" spans="1:41" x14ac:dyDescent="0.3">
      <c r="A209" s="2" t="s">
        <v>206</v>
      </c>
      <c r="B209">
        <f>'Rådata-K'!N208</f>
        <v>8</v>
      </c>
      <c r="C209" s="7">
        <f>'Rådata-K'!M208</f>
        <v>264.95</v>
      </c>
      <c r="D209" s="24">
        <f>'Rådata-K'!O208</f>
        <v>12.725337526848726</v>
      </c>
      <c r="E209" s="24">
        <f>'Rådata-K'!P208</f>
        <v>12.167080762425165</v>
      </c>
      <c r="F209" s="24">
        <f>'Rådata-K'!Q208</f>
        <v>1.5301048121796335E-2</v>
      </c>
      <c r="G209" s="24">
        <f>'Rådata-K'!R208</f>
        <v>0.1025544420164268</v>
      </c>
      <c r="H209" s="24">
        <f>'Rådata-K'!S208</f>
        <v>0.17843417979052068</v>
      </c>
      <c r="I209" s="24">
        <f>'Rådata-K'!T208</f>
        <v>1.391941391941387E-2</v>
      </c>
      <c r="J209" s="24">
        <f>'Rådata-K'!U208</f>
        <v>0.87714644701940525</v>
      </c>
      <c r="K209" s="24">
        <f>'Rådata-K'!L208</f>
        <v>395400</v>
      </c>
      <c r="L209" s="24">
        <f>Tabell2[[#This Row],[NIBR11]]</f>
        <v>8</v>
      </c>
      <c r="M209" s="24">
        <f>IF(Tabell2[[#This Row],[ReisetidOslo]]&lt;=C$434,C$434,IF(Tabell2[[#This Row],[ReisetidOslo]]&gt;=C$435,C$435,Tabell2[[#This Row],[ReisetidOslo]]))</f>
        <v>264.95</v>
      </c>
      <c r="N209" s="24">
        <f>IF(Tabell2[[#This Row],[Beftettland]]&lt;=D$434,D$434,IF(Tabell2[[#This Row],[Beftettland]]&gt;=D$435,D$435,Tabell2[[#This Row],[Beftettland]]))</f>
        <v>12.725337526848726</v>
      </c>
      <c r="O209" s="24">
        <f>IF(Tabell2[[#This Row],[Beftettotal]]&lt;=E$434,E$434,IF(Tabell2[[#This Row],[Beftettotal]]&gt;=E$435,E$435,Tabell2[[#This Row],[Beftettotal]]))</f>
        <v>12.167080762425165</v>
      </c>
      <c r="P209" s="24">
        <f>IF(Tabell2[[#This Row],[Befvekst10]]&lt;=F$434,F$434,IF(Tabell2[[#This Row],[Befvekst10]]&gt;=F$435,F$435,Tabell2[[#This Row],[Befvekst10]]))</f>
        <v>1.5301048121796335E-2</v>
      </c>
      <c r="Q209" s="24">
        <f>IF(Tabell2[[#This Row],[Kvinneandel]]&lt;=G$434,G$434,IF(Tabell2[[#This Row],[Kvinneandel]]&gt;=G$435,G$435,Tabell2[[#This Row],[Kvinneandel]]))</f>
        <v>0.1025544420164268</v>
      </c>
      <c r="R209" s="24">
        <f>IF(Tabell2[[#This Row],[Eldreandel]]&lt;=H$434,H$434,IF(Tabell2[[#This Row],[Eldreandel]]&gt;=H$435,H$435,Tabell2[[#This Row],[Eldreandel]]))</f>
        <v>0.17843417979052068</v>
      </c>
      <c r="S209" s="24">
        <f>IF(Tabell2[[#This Row],[Sysselsettingsvekst10]]&lt;=I$434,I$434,IF(Tabell2[[#This Row],[Sysselsettingsvekst10]]&gt;=I$435,I$435,Tabell2[[#This Row],[Sysselsettingsvekst10]]))</f>
        <v>1.391941391941387E-2</v>
      </c>
      <c r="T209" s="24">
        <f>IF(Tabell2[[#This Row],[Yrkesaktivandel]]&lt;=J$434,J$434,IF(Tabell2[[#This Row],[Yrkesaktivandel]]&gt;=J$435,J$435,Tabell2[[#This Row],[Yrkesaktivandel]]))</f>
        <v>0.87714644701940525</v>
      </c>
      <c r="U209" s="24">
        <f>IF(Tabell2[[#This Row],[Inntekt]]&lt;=K$434,K$434,IF(Tabell2[[#This Row],[Inntekt]]&gt;=K$435,K$435,Tabell2[[#This Row],[Inntekt]]))</f>
        <v>395400</v>
      </c>
      <c r="V209" s="7">
        <f>IF(Tabell2[[#This Row],[NIBR11-T]]&lt;=L$437,100,IF(Tabell2[[#This Row],[NIBR11-T]]&gt;=L$436,0,100*(L$436-Tabell2[[#This Row],[NIBR11-T]])/L$439))</f>
        <v>30</v>
      </c>
      <c r="W209" s="7">
        <f>(M$436-Tabell2[[#This Row],[ReisetidOslo-T]])*100/M$439</f>
        <v>6.8036563071393497</v>
      </c>
      <c r="X209" s="7">
        <f>100-(N$436-Tabell2[[#This Row],[Beftettland-T]])*100/N$439</f>
        <v>8.3755139649499597</v>
      </c>
      <c r="Y209" s="7">
        <f>100-(O$436-Tabell2[[#This Row],[Beftettotal-T]])*100/O$439</f>
        <v>8.3042563809090382</v>
      </c>
      <c r="Z209" s="7">
        <f>100-(P$436-Tabell2[[#This Row],[Befvekst10-T]])*100/P$439</f>
        <v>34.956747369708225</v>
      </c>
      <c r="AA209" s="7">
        <f>100-(Q$436-Tabell2[[#This Row],[Kvinneandel-T]])*100/Q$439</f>
        <v>34.237394512460241</v>
      </c>
      <c r="AB209" s="7">
        <f>(R$436-Tabell2[[#This Row],[Eldreandel-T]])*100/R$439</f>
        <v>45.215144615088398</v>
      </c>
      <c r="AC209" s="7">
        <f>100-(S$436-Tabell2[[#This Row],[Sysselsettingsvekst10-T]])*100/S$439</f>
        <v>34.753026499145676</v>
      </c>
      <c r="AD209" s="7">
        <f>100-(T$436-Tabell2[[#This Row],[Yrkesaktivandel-T]])*100/T$439</f>
        <v>55.197832723643899</v>
      </c>
      <c r="AE209" s="7">
        <f>100-(U$436-Tabell2[[#This Row],[Inntekt-T]])*100/U$439</f>
        <v>57.544295226272432</v>
      </c>
      <c r="AF209" s="7">
        <v>6</v>
      </c>
      <c r="AG209" s="7">
        <v>0.68036563071393497</v>
      </c>
      <c r="AH209" s="7">
        <v>0.83042563809090386</v>
      </c>
      <c r="AI209" s="7">
        <v>6.9913494739416455</v>
      </c>
      <c r="AJ209" s="7">
        <v>1.7118697256230122</v>
      </c>
      <c r="AK209" s="7">
        <v>2.2607572307544199</v>
      </c>
      <c r="AL209" s="7">
        <v>3.4753026499145676</v>
      </c>
      <c r="AM209" s="7">
        <v>5.51978327236439</v>
      </c>
      <c r="AN209" s="7">
        <v>5.7544295226272437</v>
      </c>
      <c r="AO20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33.224283144030117</v>
      </c>
    </row>
    <row r="210" spans="1:41" x14ac:dyDescent="0.3">
      <c r="A210" s="2" t="s">
        <v>207</v>
      </c>
      <c r="B210">
        <f>'Rådata-K'!N209</f>
        <v>9</v>
      </c>
      <c r="C210" s="7">
        <f>'Rådata-K'!M209</f>
        <v>247.6666666667</v>
      </c>
      <c r="D210" s="24">
        <f>'Rådata-K'!O209</f>
        <v>4.703476482617587</v>
      </c>
      <c r="E210" s="24">
        <f>'Rådata-K'!P209</f>
        <v>4.4683692880560164</v>
      </c>
      <c r="F210" s="24">
        <f>'Rådata-K'!Q209</f>
        <v>4.1509433962264142E-2</v>
      </c>
      <c r="G210" s="24">
        <f>'Rådata-K'!R209</f>
        <v>0.10869565217391304</v>
      </c>
      <c r="H210" s="24">
        <f>'Rådata-K'!S209</f>
        <v>0.22010869565217392</v>
      </c>
      <c r="I210" s="24">
        <f>'Rådata-K'!T209</f>
        <v>-0.13502109704641352</v>
      </c>
      <c r="J210" s="24">
        <f>'Rådata-K'!U209</f>
        <v>0.9147826086956522</v>
      </c>
      <c r="K210" s="24">
        <f>'Rådata-K'!L209</f>
        <v>366500</v>
      </c>
      <c r="L210" s="24">
        <f>Tabell2[[#This Row],[NIBR11]]</f>
        <v>9</v>
      </c>
      <c r="M210" s="24">
        <f>IF(Tabell2[[#This Row],[ReisetidOslo]]&lt;=C$434,C$434,IF(Tabell2[[#This Row],[ReisetidOslo]]&gt;=C$435,C$435,Tabell2[[#This Row],[ReisetidOslo]]))</f>
        <v>247.6666666667</v>
      </c>
      <c r="N210" s="24">
        <f>IF(Tabell2[[#This Row],[Beftettland]]&lt;=D$434,D$434,IF(Tabell2[[#This Row],[Beftettland]]&gt;=D$435,D$435,Tabell2[[#This Row],[Beftettland]]))</f>
        <v>4.703476482617587</v>
      </c>
      <c r="O210" s="24">
        <f>IF(Tabell2[[#This Row],[Beftettotal]]&lt;=E$434,E$434,IF(Tabell2[[#This Row],[Beftettotal]]&gt;=E$435,E$435,Tabell2[[#This Row],[Beftettotal]]))</f>
        <v>4.4683692880560164</v>
      </c>
      <c r="P210" s="24">
        <f>IF(Tabell2[[#This Row],[Befvekst10]]&lt;=F$434,F$434,IF(Tabell2[[#This Row],[Befvekst10]]&gt;=F$435,F$435,Tabell2[[#This Row],[Befvekst10]]))</f>
        <v>4.1509433962264142E-2</v>
      </c>
      <c r="Q210" s="24">
        <f>IF(Tabell2[[#This Row],[Kvinneandel]]&lt;=G$434,G$434,IF(Tabell2[[#This Row],[Kvinneandel]]&gt;=G$435,G$435,Tabell2[[#This Row],[Kvinneandel]]))</f>
        <v>0.10869565217391304</v>
      </c>
      <c r="R210" s="24">
        <f>IF(Tabell2[[#This Row],[Eldreandel]]&lt;=H$434,H$434,IF(Tabell2[[#This Row],[Eldreandel]]&gt;=H$435,H$435,Tabell2[[#This Row],[Eldreandel]]))</f>
        <v>0.22010869565217392</v>
      </c>
      <c r="S210" s="24">
        <f>IF(Tabell2[[#This Row],[Sysselsettingsvekst10]]&lt;=I$434,I$434,IF(Tabell2[[#This Row],[Sysselsettingsvekst10]]&gt;=I$435,I$435,Tabell2[[#This Row],[Sysselsettingsvekst10]]))</f>
        <v>-9.2570207570207563E-2</v>
      </c>
      <c r="T210" s="24">
        <f>IF(Tabell2[[#This Row],[Yrkesaktivandel]]&lt;=J$434,J$434,IF(Tabell2[[#This Row],[Yrkesaktivandel]]&gt;=J$435,J$435,Tabell2[[#This Row],[Yrkesaktivandel]]))</f>
        <v>0.9147826086956522</v>
      </c>
      <c r="U210" s="24">
        <f>IF(Tabell2[[#This Row],[Inntekt]]&lt;=K$434,K$434,IF(Tabell2[[#This Row],[Inntekt]]&gt;=K$435,K$435,Tabell2[[#This Row],[Inntekt]]))</f>
        <v>366500</v>
      </c>
      <c r="V210" s="7">
        <f>IF(Tabell2[[#This Row],[NIBR11-T]]&lt;=L$437,100,IF(Tabell2[[#This Row],[NIBR11-T]]&gt;=L$436,0,100*(L$436-Tabell2[[#This Row],[NIBR11-T]])/L$439))</f>
        <v>20</v>
      </c>
      <c r="W210" s="7">
        <f>(M$436-Tabell2[[#This Row],[ReisetidOslo-T]])*100/M$439</f>
        <v>14.386837294326869</v>
      </c>
      <c r="X210" s="7">
        <f>100-(N$436-Tabell2[[#This Row],[Beftettland-T]])*100/N$439</f>
        <v>2.4417133173595857</v>
      </c>
      <c r="Y210" s="7">
        <f>100-(O$436-Tabell2[[#This Row],[Beftettotal-T]])*100/O$439</f>
        <v>2.4113657140514277</v>
      </c>
      <c r="Z210" s="7">
        <f>100-(P$436-Tabell2[[#This Row],[Befvekst10-T]])*100/P$439</f>
        <v>45.564881186634068</v>
      </c>
      <c r="AA210" s="7">
        <f>100-(Q$436-Tabell2[[#This Row],[Kvinneandel-T]])*100/Q$439</f>
        <v>50.370680745660387</v>
      </c>
      <c r="AB210" s="7">
        <f>(R$436-Tabell2[[#This Row],[Eldreandel-T]])*100/R$439</f>
        <v>0.23772192304812387</v>
      </c>
      <c r="AC210" s="7">
        <f>100-(S$436-Tabell2[[#This Row],[Sysselsettingsvekst10-T]])*100/S$439</f>
        <v>0</v>
      </c>
      <c r="AD210" s="7">
        <f>100-(T$436-Tabell2[[#This Row],[Yrkesaktivandel-T]])*100/T$439</f>
        <v>81.74238505400568</v>
      </c>
      <c r="AE210" s="7">
        <f>100-(U$436-Tabell2[[#This Row],[Inntekt-T]])*100/U$439</f>
        <v>24.929466200203137</v>
      </c>
      <c r="AF210" s="7">
        <v>4</v>
      </c>
      <c r="AG210" s="7">
        <v>1.4386837294326869</v>
      </c>
      <c r="AH210" s="7">
        <v>0.24113657140514277</v>
      </c>
      <c r="AI210" s="7">
        <v>9.1129762373268139</v>
      </c>
      <c r="AJ210" s="7">
        <v>2.5185340372830196</v>
      </c>
      <c r="AK210" s="7">
        <v>1.1886096152406194E-2</v>
      </c>
      <c r="AL210" s="7">
        <v>0</v>
      </c>
      <c r="AM210" s="7">
        <v>8.1742385054005684</v>
      </c>
      <c r="AN210" s="7">
        <v>2.4929466200203141</v>
      </c>
      <c r="AO21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27.990401797020951</v>
      </c>
    </row>
    <row r="211" spans="1:41" x14ac:dyDescent="0.3">
      <c r="A211" s="2" t="s">
        <v>208</v>
      </c>
      <c r="B211">
        <f>'Rådata-K'!N210</f>
        <v>7</v>
      </c>
      <c r="C211" s="7">
        <f>'Rådata-K'!M210</f>
        <v>266.14999999999998</v>
      </c>
      <c r="D211" s="24">
        <f>'Rådata-K'!O210</f>
        <v>4.6953764431676515</v>
      </c>
      <c r="E211" s="24">
        <f>'Rådata-K'!P210</f>
        <v>4.2886582626292631</v>
      </c>
      <c r="F211" s="24">
        <f>'Rådata-K'!Q210</f>
        <v>-4.3742238167517544E-2</v>
      </c>
      <c r="G211" s="24">
        <f>'Rådata-K'!R210</f>
        <v>0.10808080808080808</v>
      </c>
      <c r="H211" s="24">
        <f>'Rådata-K'!S210</f>
        <v>0.19812409812409812</v>
      </c>
      <c r="I211" s="24">
        <f>'Rådata-K'!T210</f>
        <v>-2.8380634390651083E-2</v>
      </c>
      <c r="J211" s="24">
        <f>'Rådata-K'!U210</f>
        <v>0.85136166963603965</v>
      </c>
      <c r="K211" s="24">
        <f>'Rådata-K'!L210</f>
        <v>381400</v>
      </c>
      <c r="L211" s="24">
        <f>Tabell2[[#This Row],[NIBR11]]</f>
        <v>7</v>
      </c>
      <c r="M211" s="24">
        <f>IF(Tabell2[[#This Row],[ReisetidOslo]]&lt;=C$434,C$434,IF(Tabell2[[#This Row],[ReisetidOslo]]&gt;=C$435,C$435,Tabell2[[#This Row],[ReisetidOslo]]))</f>
        <v>266.14999999999998</v>
      </c>
      <c r="N211" s="24">
        <f>IF(Tabell2[[#This Row],[Beftettland]]&lt;=D$434,D$434,IF(Tabell2[[#This Row],[Beftettland]]&gt;=D$435,D$435,Tabell2[[#This Row],[Beftettland]]))</f>
        <v>4.6953764431676515</v>
      </c>
      <c r="O211" s="24">
        <f>IF(Tabell2[[#This Row],[Beftettotal]]&lt;=E$434,E$434,IF(Tabell2[[#This Row],[Beftettotal]]&gt;=E$435,E$435,Tabell2[[#This Row],[Beftettotal]]))</f>
        <v>4.2886582626292631</v>
      </c>
      <c r="P211" s="24">
        <f>IF(Tabell2[[#This Row],[Befvekst10]]&lt;=F$434,F$434,IF(Tabell2[[#This Row],[Befvekst10]]&gt;=F$435,F$435,Tabell2[[#This Row],[Befvekst10]]))</f>
        <v>-4.3742238167517544E-2</v>
      </c>
      <c r="Q211" s="24">
        <f>IF(Tabell2[[#This Row],[Kvinneandel]]&lt;=G$434,G$434,IF(Tabell2[[#This Row],[Kvinneandel]]&gt;=G$435,G$435,Tabell2[[#This Row],[Kvinneandel]]))</f>
        <v>0.10808080808080808</v>
      </c>
      <c r="R211" s="24">
        <f>IF(Tabell2[[#This Row],[Eldreandel]]&lt;=H$434,H$434,IF(Tabell2[[#This Row],[Eldreandel]]&gt;=H$435,H$435,Tabell2[[#This Row],[Eldreandel]]))</f>
        <v>0.19812409812409812</v>
      </c>
      <c r="S211" s="24">
        <f>IF(Tabell2[[#This Row],[Sysselsettingsvekst10]]&lt;=I$434,I$434,IF(Tabell2[[#This Row],[Sysselsettingsvekst10]]&gt;=I$435,I$435,Tabell2[[#This Row],[Sysselsettingsvekst10]]))</f>
        <v>-2.8380634390651083E-2</v>
      </c>
      <c r="T211" s="24">
        <f>IF(Tabell2[[#This Row],[Yrkesaktivandel]]&lt;=J$434,J$434,IF(Tabell2[[#This Row],[Yrkesaktivandel]]&gt;=J$435,J$435,Tabell2[[#This Row],[Yrkesaktivandel]]))</f>
        <v>0.85136166963603965</v>
      </c>
      <c r="U211" s="24">
        <f>IF(Tabell2[[#This Row],[Inntekt]]&lt;=K$434,K$434,IF(Tabell2[[#This Row],[Inntekt]]&gt;=K$435,K$435,Tabell2[[#This Row],[Inntekt]]))</f>
        <v>381400</v>
      </c>
      <c r="V211" s="7">
        <f>IF(Tabell2[[#This Row],[NIBR11-T]]&lt;=L$437,100,IF(Tabell2[[#This Row],[NIBR11-T]]&gt;=L$436,0,100*(L$436-Tabell2[[#This Row],[NIBR11-T]])/L$439))</f>
        <v>40</v>
      </c>
      <c r="W211" s="7">
        <f>(M$436-Tabell2[[#This Row],[ReisetidOslo-T]])*100/M$439</f>
        <v>6.2771480804483666</v>
      </c>
      <c r="X211" s="7">
        <f>100-(N$436-Tabell2[[#This Row],[Beftettland-T]])*100/N$439</f>
        <v>2.4357216878525918</v>
      </c>
      <c r="Y211" s="7">
        <f>100-(O$436-Tabell2[[#This Row],[Beftettotal-T]])*100/O$439</f>
        <v>2.2738079645508265</v>
      </c>
      <c r="Z211" s="7">
        <f>100-(P$436-Tabell2[[#This Row],[Befvekst10-T]])*100/P$439</f>
        <v>11.058324713667062</v>
      </c>
      <c r="AA211" s="7">
        <f>100-(Q$436-Tabell2[[#This Row],[Kvinneandel-T]])*100/Q$439</f>
        <v>48.755452559606098</v>
      </c>
      <c r="AB211" s="7">
        <f>(R$436-Tabell2[[#This Row],[Eldreandel-T]])*100/R$439</f>
        <v>23.964705075466746</v>
      </c>
      <c r="AC211" s="7">
        <f>100-(S$436-Tabell2[[#This Row],[Sysselsettingsvekst10-T]])*100/S$439</f>
        <v>20.948350707541877</v>
      </c>
      <c r="AD211" s="7">
        <f>100-(T$436-Tabell2[[#This Row],[Yrkesaktivandel-T]])*100/T$439</f>
        <v>37.011988522335614</v>
      </c>
      <c r="AE211" s="7">
        <f>100-(U$436-Tabell2[[#This Row],[Inntekt-T]])*100/U$439</f>
        <v>41.744724071775195</v>
      </c>
      <c r="AF211" s="7">
        <v>8</v>
      </c>
      <c r="AG211" s="7">
        <v>0.6277148080448367</v>
      </c>
      <c r="AH211" s="7">
        <v>0.22738079645508266</v>
      </c>
      <c r="AI211" s="7">
        <v>2.2116649427334125</v>
      </c>
      <c r="AJ211" s="7">
        <v>2.4377726279803049</v>
      </c>
      <c r="AK211" s="7">
        <v>1.1982352537733374</v>
      </c>
      <c r="AL211" s="7">
        <v>2.0948350707541876</v>
      </c>
      <c r="AM211" s="7">
        <v>3.7011988522335617</v>
      </c>
      <c r="AN211" s="7">
        <v>4.1744724071775199</v>
      </c>
      <c r="AO21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24.673274759152243</v>
      </c>
    </row>
    <row r="212" spans="1:41" x14ac:dyDescent="0.3">
      <c r="A212" s="2" t="s">
        <v>209</v>
      </c>
      <c r="B212">
        <f>'Rådata-K'!N211</f>
        <v>7</v>
      </c>
      <c r="C212" s="7">
        <f>'Rådata-K'!M211</f>
        <v>265.91666666700002</v>
      </c>
      <c r="D212" s="24">
        <f>'Rådata-K'!O211</f>
        <v>2.6470634018773058</v>
      </c>
      <c r="E212" s="24">
        <f>'Rådata-K'!P211</f>
        <v>2.4318391453883721</v>
      </c>
      <c r="F212" s="24">
        <f>'Rådata-K'!Q211</f>
        <v>-2.0449308755760343E-2</v>
      </c>
      <c r="G212" s="24">
        <f>'Rådata-K'!R211</f>
        <v>0.10349897089091444</v>
      </c>
      <c r="H212" s="24">
        <f>'Rådata-K'!S211</f>
        <v>0.20582181711261394</v>
      </c>
      <c r="I212" s="24">
        <f>'Rådata-K'!T211</f>
        <v>-3.8850038850038904E-2</v>
      </c>
      <c r="J212" s="24">
        <f>'Rådata-K'!U211</f>
        <v>0.94287298946200782</v>
      </c>
      <c r="K212" s="24">
        <f>'Rådata-K'!L211</f>
        <v>378300</v>
      </c>
      <c r="L212" s="24">
        <f>Tabell2[[#This Row],[NIBR11]]</f>
        <v>7</v>
      </c>
      <c r="M212" s="24">
        <f>IF(Tabell2[[#This Row],[ReisetidOslo]]&lt;=C$434,C$434,IF(Tabell2[[#This Row],[ReisetidOslo]]&gt;=C$435,C$435,Tabell2[[#This Row],[ReisetidOslo]]))</f>
        <v>265.91666666700002</v>
      </c>
      <c r="N212" s="24">
        <f>IF(Tabell2[[#This Row],[Beftettland]]&lt;=D$434,D$434,IF(Tabell2[[#This Row],[Beftettland]]&gt;=D$435,D$435,Tabell2[[#This Row],[Beftettland]]))</f>
        <v>2.6470634018773058</v>
      </c>
      <c r="O212" s="24">
        <f>IF(Tabell2[[#This Row],[Beftettotal]]&lt;=E$434,E$434,IF(Tabell2[[#This Row],[Beftettotal]]&gt;=E$435,E$435,Tabell2[[#This Row],[Beftettotal]]))</f>
        <v>2.4318391453883721</v>
      </c>
      <c r="P212" s="24">
        <f>IF(Tabell2[[#This Row],[Befvekst10]]&lt;=F$434,F$434,IF(Tabell2[[#This Row],[Befvekst10]]&gt;=F$435,F$435,Tabell2[[#This Row],[Befvekst10]]))</f>
        <v>-2.0449308755760343E-2</v>
      </c>
      <c r="Q212" s="24">
        <f>IF(Tabell2[[#This Row],[Kvinneandel]]&lt;=G$434,G$434,IF(Tabell2[[#This Row],[Kvinneandel]]&gt;=G$435,G$435,Tabell2[[#This Row],[Kvinneandel]]))</f>
        <v>0.10349897089091444</v>
      </c>
      <c r="R212" s="24">
        <f>IF(Tabell2[[#This Row],[Eldreandel]]&lt;=H$434,H$434,IF(Tabell2[[#This Row],[Eldreandel]]&gt;=H$435,H$435,Tabell2[[#This Row],[Eldreandel]]))</f>
        <v>0.20582181711261394</v>
      </c>
      <c r="S212" s="24">
        <f>IF(Tabell2[[#This Row],[Sysselsettingsvekst10]]&lt;=I$434,I$434,IF(Tabell2[[#This Row],[Sysselsettingsvekst10]]&gt;=I$435,I$435,Tabell2[[#This Row],[Sysselsettingsvekst10]]))</f>
        <v>-3.8850038850038904E-2</v>
      </c>
      <c r="T212" s="24">
        <f>IF(Tabell2[[#This Row],[Yrkesaktivandel]]&lt;=J$434,J$434,IF(Tabell2[[#This Row],[Yrkesaktivandel]]&gt;=J$435,J$435,Tabell2[[#This Row],[Yrkesaktivandel]]))</f>
        <v>0.94066914614326791</v>
      </c>
      <c r="U212" s="24">
        <f>IF(Tabell2[[#This Row],[Inntekt]]&lt;=K$434,K$434,IF(Tabell2[[#This Row],[Inntekt]]&gt;=K$435,K$435,Tabell2[[#This Row],[Inntekt]]))</f>
        <v>378300</v>
      </c>
      <c r="V212" s="7">
        <f>IF(Tabell2[[#This Row],[NIBR11-T]]&lt;=L$437,100,IF(Tabell2[[#This Row],[NIBR11-T]]&gt;=L$436,0,100*(L$436-Tabell2[[#This Row],[NIBR11-T]])/L$439))</f>
        <v>40</v>
      </c>
      <c r="W212" s="7">
        <f>(M$436-Tabell2[[#This Row],[ReisetidOslo-T]])*100/M$439</f>
        <v>6.3795246799364564</v>
      </c>
      <c r="X212" s="7">
        <f>100-(N$436-Tabell2[[#This Row],[Beftettland-T]])*100/N$439</f>
        <v>0.92057686249849269</v>
      </c>
      <c r="Y212" s="7">
        <f>100-(O$436-Tabell2[[#This Row],[Beftettotal-T]])*100/O$439</f>
        <v>0.85252700312497609</v>
      </c>
      <c r="Z212" s="7">
        <f>100-(P$436-Tabell2[[#This Row],[Befvekst10-T]])*100/P$439</f>
        <v>20.486395320235857</v>
      </c>
      <c r="AA212" s="7">
        <f>100-(Q$436-Tabell2[[#This Row],[Kvinneandel-T]])*100/Q$439</f>
        <v>36.718722181902649</v>
      </c>
      <c r="AB212" s="7">
        <f>(R$436-Tabell2[[#This Row],[Eldreandel-T]])*100/R$439</f>
        <v>15.6569046474935</v>
      </c>
      <c r="AC212" s="7">
        <f>100-(S$436-Tabell2[[#This Row],[Sysselsettingsvekst10-T]])*100/S$439</f>
        <v>17.531646943195781</v>
      </c>
      <c r="AD212" s="7">
        <f>100-(T$436-Tabell2[[#This Row],[Yrkesaktivandel-T]])*100/T$439</f>
        <v>100</v>
      </c>
      <c r="AE212" s="7">
        <f>100-(U$436-Tabell2[[#This Row],[Inntekt-T]])*100/U$439</f>
        <v>38.246247601850804</v>
      </c>
      <c r="AF212" s="7">
        <v>8</v>
      </c>
      <c r="AG212" s="7">
        <v>0.63795246799364569</v>
      </c>
      <c r="AH212" s="7">
        <v>8.5252700312497612E-2</v>
      </c>
      <c r="AI212" s="7">
        <v>4.0972790640471715</v>
      </c>
      <c r="AJ212" s="7">
        <v>1.8359361090951325</v>
      </c>
      <c r="AK212" s="7">
        <v>0.78284523237467507</v>
      </c>
      <c r="AL212" s="7">
        <v>1.7531646943195782</v>
      </c>
      <c r="AM212" s="7">
        <v>10</v>
      </c>
      <c r="AN212" s="7">
        <v>3.8246247601850807</v>
      </c>
      <c r="AO21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31.017055028327785</v>
      </c>
    </row>
    <row r="213" spans="1:41" x14ac:dyDescent="0.3">
      <c r="A213" s="2" t="s">
        <v>210</v>
      </c>
      <c r="B213">
        <f>'Rådata-K'!N212</f>
        <v>9</v>
      </c>
      <c r="C213" s="7">
        <f>'Rådata-K'!M212</f>
        <v>242.81666666699999</v>
      </c>
      <c r="D213" s="24">
        <f>'Rådata-K'!O212</f>
        <v>0.66937310495046631</v>
      </c>
      <c r="E213" s="24">
        <f>'Rådata-K'!P212</f>
        <v>0.62019765867002796</v>
      </c>
      <c r="F213" s="24">
        <f>'Rådata-K'!Q212</f>
        <v>2.8921023359288034E-2</v>
      </c>
      <c r="G213" s="24">
        <f>'Rådata-K'!R212</f>
        <v>0.10702702702702703</v>
      </c>
      <c r="H213" s="24">
        <f>'Rådata-K'!S212</f>
        <v>0.18702702702702703</v>
      </c>
      <c r="I213" s="24">
        <f>'Rådata-K'!T212</f>
        <v>5.7441253263707637E-2</v>
      </c>
      <c r="J213" s="24">
        <f>'Rådata-K'!U212</f>
        <v>0.94290976058931864</v>
      </c>
      <c r="K213" s="24">
        <f>'Rådata-K'!L212</f>
        <v>415300</v>
      </c>
      <c r="L213" s="24">
        <f>Tabell2[[#This Row],[NIBR11]]</f>
        <v>9</v>
      </c>
      <c r="M213" s="24">
        <f>IF(Tabell2[[#This Row],[ReisetidOslo]]&lt;=C$434,C$434,IF(Tabell2[[#This Row],[ReisetidOslo]]&gt;=C$435,C$435,Tabell2[[#This Row],[ReisetidOslo]]))</f>
        <v>242.81666666699999</v>
      </c>
      <c r="N213" s="24">
        <f>IF(Tabell2[[#This Row],[Beftettland]]&lt;=D$434,D$434,IF(Tabell2[[#This Row],[Beftettland]]&gt;=D$435,D$435,Tabell2[[#This Row],[Beftettland]]))</f>
        <v>1.4025423756281519</v>
      </c>
      <c r="O213" s="24">
        <f>IF(Tabell2[[#This Row],[Beftettotal]]&lt;=E$434,E$434,IF(Tabell2[[#This Row],[Beftettotal]]&gt;=E$435,E$435,Tabell2[[#This Row],[Beftettotal]]))</f>
        <v>1.3180632767674032</v>
      </c>
      <c r="P213" s="24">
        <f>IF(Tabell2[[#This Row],[Befvekst10]]&lt;=F$434,F$434,IF(Tabell2[[#This Row],[Befvekst10]]&gt;=F$435,F$435,Tabell2[[#This Row],[Befvekst10]]))</f>
        <v>2.8921023359288034E-2</v>
      </c>
      <c r="Q213" s="24">
        <f>IF(Tabell2[[#This Row],[Kvinneandel]]&lt;=G$434,G$434,IF(Tabell2[[#This Row],[Kvinneandel]]&gt;=G$435,G$435,Tabell2[[#This Row],[Kvinneandel]]))</f>
        <v>0.10702702702702703</v>
      </c>
      <c r="R213" s="24">
        <f>IF(Tabell2[[#This Row],[Eldreandel]]&lt;=H$434,H$434,IF(Tabell2[[#This Row],[Eldreandel]]&gt;=H$435,H$435,Tabell2[[#This Row],[Eldreandel]]))</f>
        <v>0.18702702702702703</v>
      </c>
      <c r="S213" s="24">
        <f>IF(Tabell2[[#This Row],[Sysselsettingsvekst10]]&lt;=I$434,I$434,IF(Tabell2[[#This Row],[Sysselsettingsvekst10]]&gt;=I$435,I$435,Tabell2[[#This Row],[Sysselsettingsvekst10]]))</f>
        <v>5.7441253263707637E-2</v>
      </c>
      <c r="T213" s="24">
        <f>IF(Tabell2[[#This Row],[Yrkesaktivandel]]&lt;=J$434,J$434,IF(Tabell2[[#This Row],[Yrkesaktivandel]]&gt;=J$435,J$435,Tabell2[[#This Row],[Yrkesaktivandel]]))</f>
        <v>0.94066914614326791</v>
      </c>
      <c r="U213" s="24">
        <f>IF(Tabell2[[#This Row],[Inntekt]]&lt;=K$434,K$434,IF(Tabell2[[#This Row],[Inntekt]]&gt;=K$435,K$435,Tabell2[[#This Row],[Inntekt]]))</f>
        <v>415300</v>
      </c>
      <c r="V213" s="7">
        <f>IF(Tabell2[[#This Row],[NIBR11-T]]&lt;=L$437,100,IF(Tabell2[[#This Row],[NIBR11-T]]&gt;=L$436,0,100*(L$436-Tabell2[[#This Row],[NIBR11-T]])/L$439))</f>
        <v>20</v>
      </c>
      <c r="W213" s="7">
        <f>(M$436-Tabell2[[#This Row],[ReisetidOslo-T]])*100/M$439</f>
        <v>16.514808043737986</v>
      </c>
      <c r="X213" s="7">
        <f>100-(N$436-Tabell2[[#This Row],[Beftettland-T]])*100/N$439</f>
        <v>0</v>
      </c>
      <c r="Y213" s="7">
        <f>100-(O$436-Tabell2[[#This Row],[Beftettotal-T]])*100/O$439</f>
        <v>0</v>
      </c>
      <c r="Z213" s="7">
        <f>100-(P$436-Tabell2[[#This Row],[Befvekst10-T]])*100/P$439</f>
        <v>40.469582871368004</v>
      </c>
      <c r="AA213" s="7">
        <f>100-(Q$436-Tabell2[[#This Row],[Kvinneandel-T]])*100/Q$439</f>
        <v>45.98711359516787</v>
      </c>
      <c r="AB213" s="7">
        <f>(R$436-Tabell2[[#This Row],[Eldreandel-T]])*100/R$439</f>
        <v>35.941272698555849</v>
      </c>
      <c r="AC213" s="7">
        <f>100-(S$436-Tabell2[[#This Row],[Sysselsettingsvekst10-T]])*100/S$439</f>
        <v>48.956435384125264</v>
      </c>
      <c r="AD213" s="7">
        <f>100-(T$436-Tabell2[[#This Row],[Yrkesaktivandel-T]])*100/T$439</f>
        <v>100</v>
      </c>
      <c r="AE213" s="7">
        <f>100-(U$436-Tabell2[[#This Row],[Inntekt-T]])*100/U$439</f>
        <v>80.002257081593498</v>
      </c>
      <c r="AF213" s="7">
        <v>4</v>
      </c>
      <c r="AG213" s="7">
        <v>1.6514808043737987</v>
      </c>
      <c r="AH213" s="7">
        <v>0</v>
      </c>
      <c r="AI213" s="7">
        <v>8.0939165742736012</v>
      </c>
      <c r="AJ213" s="7">
        <v>2.2993556797583934</v>
      </c>
      <c r="AK213" s="7">
        <v>1.7970636349277926</v>
      </c>
      <c r="AL213" s="7">
        <v>4.8956435384125268</v>
      </c>
      <c r="AM213" s="7">
        <v>10</v>
      </c>
      <c r="AN213" s="7">
        <v>8.0002257081593502</v>
      </c>
      <c r="AO21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40.737685939905461</v>
      </c>
    </row>
    <row r="214" spans="1:41" x14ac:dyDescent="0.3">
      <c r="A214" s="2" t="s">
        <v>211</v>
      </c>
      <c r="B214">
        <f>'Rådata-K'!N213</f>
        <v>6</v>
      </c>
      <c r="C214" s="7">
        <f>'Rådata-K'!M213</f>
        <v>267.51666666699998</v>
      </c>
      <c r="D214" s="24">
        <f>'Rådata-K'!O213</f>
        <v>1.6851896593380042</v>
      </c>
      <c r="E214" s="24">
        <f>'Rådata-K'!P213</f>
        <v>1.5482152518624364</v>
      </c>
      <c r="F214" s="24">
        <f>'Rådata-K'!Q213</f>
        <v>-2.2767075306479811E-2</v>
      </c>
      <c r="G214" s="24">
        <f>'Rådata-K'!R213</f>
        <v>0.10215053763440861</v>
      </c>
      <c r="H214" s="24">
        <f>'Rådata-K'!S213</f>
        <v>0.21594982078853048</v>
      </c>
      <c r="I214" s="24">
        <f>'Rådata-K'!T213</f>
        <v>-0.19281663516068048</v>
      </c>
      <c r="J214" s="24">
        <f>'Rådata-K'!U213</f>
        <v>0.90365448504983392</v>
      </c>
      <c r="K214" s="24">
        <f>'Rådata-K'!L213</f>
        <v>364200</v>
      </c>
      <c r="L214" s="24">
        <f>Tabell2[[#This Row],[NIBR11]]</f>
        <v>6</v>
      </c>
      <c r="M214" s="24">
        <f>IF(Tabell2[[#This Row],[ReisetidOslo]]&lt;=C$434,C$434,IF(Tabell2[[#This Row],[ReisetidOslo]]&gt;=C$435,C$435,Tabell2[[#This Row],[ReisetidOslo]]))</f>
        <v>267.51666666699998</v>
      </c>
      <c r="N214" s="24">
        <f>IF(Tabell2[[#This Row],[Beftettland]]&lt;=D$434,D$434,IF(Tabell2[[#This Row],[Beftettland]]&gt;=D$435,D$435,Tabell2[[#This Row],[Beftettland]]))</f>
        <v>1.6851896593380042</v>
      </c>
      <c r="O214" s="24">
        <f>IF(Tabell2[[#This Row],[Beftettotal]]&lt;=E$434,E$434,IF(Tabell2[[#This Row],[Beftettotal]]&gt;=E$435,E$435,Tabell2[[#This Row],[Beftettotal]]))</f>
        <v>1.5482152518624364</v>
      </c>
      <c r="P214" s="24">
        <f>IF(Tabell2[[#This Row],[Befvekst10]]&lt;=F$434,F$434,IF(Tabell2[[#This Row],[Befvekst10]]&gt;=F$435,F$435,Tabell2[[#This Row],[Befvekst10]]))</f>
        <v>-2.2767075306479811E-2</v>
      </c>
      <c r="Q214" s="24">
        <f>IF(Tabell2[[#This Row],[Kvinneandel]]&lt;=G$434,G$434,IF(Tabell2[[#This Row],[Kvinneandel]]&gt;=G$435,G$435,Tabell2[[#This Row],[Kvinneandel]]))</f>
        <v>0.10215053763440861</v>
      </c>
      <c r="R214" s="24">
        <f>IF(Tabell2[[#This Row],[Eldreandel]]&lt;=H$434,H$434,IF(Tabell2[[#This Row],[Eldreandel]]&gt;=H$435,H$435,Tabell2[[#This Row],[Eldreandel]]))</f>
        <v>0.21594982078853048</v>
      </c>
      <c r="S214" s="24">
        <f>IF(Tabell2[[#This Row],[Sysselsettingsvekst10]]&lt;=I$434,I$434,IF(Tabell2[[#This Row],[Sysselsettingsvekst10]]&gt;=I$435,I$435,Tabell2[[#This Row],[Sysselsettingsvekst10]]))</f>
        <v>-9.2570207570207563E-2</v>
      </c>
      <c r="T214" s="24">
        <f>IF(Tabell2[[#This Row],[Yrkesaktivandel]]&lt;=J$434,J$434,IF(Tabell2[[#This Row],[Yrkesaktivandel]]&gt;=J$435,J$435,Tabell2[[#This Row],[Yrkesaktivandel]]))</f>
        <v>0.90365448504983392</v>
      </c>
      <c r="U214" s="24">
        <f>IF(Tabell2[[#This Row],[Inntekt]]&lt;=K$434,K$434,IF(Tabell2[[#This Row],[Inntekt]]&gt;=K$435,K$435,Tabell2[[#This Row],[Inntekt]]))</f>
        <v>364200</v>
      </c>
      <c r="V214" s="7">
        <f>IF(Tabell2[[#This Row],[NIBR11-T]]&lt;=L$437,100,IF(Tabell2[[#This Row],[NIBR11-T]]&gt;=L$436,0,100*(L$436-Tabell2[[#This Row],[NIBR11-T]])/L$439))</f>
        <v>50</v>
      </c>
      <c r="W214" s="7">
        <f>(M$436-Tabell2[[#This Row],[ReisetidOslo-T]])*100/M$439</f>
        <v>5.6775137110151537</v>
      </c>
      <c r="X214" s="7">
        <f>100-(N$436-Tabell2[[#This Row],[Beftettland-T]])*100/N$439</f>
        <v>0.20907525396782489</v>
      </c>
      <c r="Y214" s="7">
        <f>100-(O$436-Tabell2[[#This Row],[Beftettotal-T]])*100/O$439</f>
        <v>0.17616719765531741</v>
      </c>
      <c r="Z214" s="7">
        <f>100-(P$436-Tabell2[[#This Row],[Befvekst10-T]])*100/P$439</f>
        <v>19.548253693502701</v>
      </c>
      <c r="AA214" s="7">
        <f>100-(Q$436-Tabell2[[#This Row],[Kvinneandel-T]])*100/Q$439</f>
        <v>33.176316184437255</v>
      </c>
      <c r="AB214" s="7">
        <f>(R$436-Tabell2[[#This Row],[Eldreandel-T]])*100/R$439</f>
        <v>4.7262077230118207</v>
      </c>
      <c r="AC214" s="7">
        <f>100-(S$436-Tabell2[[#This Row],[Sysselsettingsvekst10-T]])*100/S$439</f>
        <v>0</v>
      </c>
      <c r="AD214" s="7">
        <f>100-(T$436-Tabell2[[#This Row],[Yrkesaktivandel-T]])*100/T$439</f>
        <v>73.893788191334963</v>
      </c>
      <c r="AE214" s="7">
        <f>100-(U$436-Tabell2[[#This Row],[Inntekt-T]])*100/U$439</f>
        <v>22.333822367678593</v>
      </c>
      <c r="AF214" s="7">
        <v>10</v>
      </c>
      <c r="AG214" s="7">
        <v>0.56775137110151541</v>
      </c>
      <c r="AH214" s="7">
        <v>1.7616719765531742E-2</v>
      </c>
      <c r="AI214" s="7">
        <v>3.9096507387005404</v>
      </c>
      <c r="AJ214" s="7">
        <v>1.6588158092218628</v>
      </c>
      <c r="AK214" s="7">
        <v>0.23631038615059105</v>
      </c>
      <c r="AL214" s="7">
        <v>0</v>
      </c>
      <c r="AM214" s="7">
        <v>7.3893788191334968</v>
      </c>
      <c r="AN214" s="7">
        <v>2.2333822367678593</v>
      </c>
      <c r="AO21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26.012906080841397</v>
      </c>
    </row>
    <row r="215" spans="1:41" x14ac:dyDescent="0.3">
      <c r="A215" s="2" t="s">
        <v>212</v>
      </c>
      <c r="B215">
        <f>'Rådata-K'!N214</f>
        <v>6</v>
      </c>
      <c r="C215" s="7">
        <f>'Rådata-K'!M214</f>
        <v>255.3</v>
      </c>
      <c r="D215" s="24">
        <f>'Rådata-K'!O214</f>
        <v>4.4873670861379376</v>
      </c>
      <c r="E215" s="24">
        <f>'Rådata-K'!P214</f>
        <v>4.3304306895740172</v>
      </c>
      <c r="F215" s="24">
        <f>'Rådata-K'!Q214</f>
        <v>-6.6937119675456347E-2</v>
      </c>
      <c r="G215" s="24">
        <f>'Rådata-K'!R214</f>
        <v>0.10652173913043478</v>
      </c>
      <c r="H215" s="24">
        <f>'Rådata-K'!S214</f>
        <v>0.20869565217391303</v>
      </c>
      <c r="I215" s="24">
        <f>'Rådata-K'!T214</f>
        <v>-0.12096774193548387</v>
      </c>
      <c r="J215" s="24">
        <f>'Rådata-K'!U214</f>
        <v>0.94541910331384016</v>
      </c>
      <c r="K215" s="24">
        <f>'Rådata-K'!L214</f>
        <v>366200</v>
      </c>
      <c r="L215" s="24">
        <f>Tabell2[[#This Row],[NIBR11]]</f>
        <v>6</v>
      </c>
      <c r="M215" s="24">
        <f>IF(Tabell2[[#This Row],[ReisetidOslo]]&lt;=C$434,C$434,IF(Tabell2[[#This Row],[ReisetidOslo]]&gt;=C$435,C$435,Tabell2[[#This Row],[ReisetidOslo]]))</f>
        <v>255.3</v>
      </c>
      <c r="N215" s="24">
        <f>IF(Tabell2[[#This Row],[Beftettland]]&lt;=D$434,D$434,IF(Tabell2[[#This Row],[Beftettland]]&gt;=D$435,D$435,Tabell2[[#This Row],[Beftettland]]))</f>
        <v>4.4873670861379376</v>
      </c>
      <c r="O215" s="24">
        <f>IF(Tabell2[[#This Row],[Beftettotal]]&lt;=E$434,E$434,IF(Tabell2[[#This Row],[Beftettotal]]&gt;=E$435,E$435,Tabell2[[#This Row],[Beftettotal]]))</f>
        <v>4.3304306895740172</v>
      </c>
      <c r="P215" s="24">
        <f>IF(Tabell2[[#This Row],[Befvekst10]]&lt;=F$434,F$434,IF(Tabell2[[#This Row],[Befvekst10]]&gt;=F$435,F$435,Tabell2[[#This Row],[Befvekst10]]))</f>
        <v>-6.6937119675456347E-2</v>
      </c>
      <c r="Q215" s="24">
        <f>IF(Tabell2[[#This Row],[Kvinneandel]]&lt;=G$434,G$434,IF(Tabell2[[#This Row],[Kvinneandel]]&gt;=G$435,G$435,Tabell2[[#This Row],[Kvinneandel]]))</f>
        <v>0.10652173913043478</v>
      </c>
      <c r="R215" s="24">
        <f>IF(Tabell2[[#This Row],[Eldreandel]]&lt;=H$434,H$434,IF(Tabell2[[#This Row],[Eldreandel]]&gt;=H$435,H$435,Tabell2[[#This Row],[Eldreandel]]))</f>
        <v>0.20869565217391303</v>
      </c>
      <c r="S215" s="24">
        <f>IF(Tabell2[[#This Row],[Sysselsettingsvekst10]]&lt;=I$434,I$434,IF(Tabell2[[#This Row],[Sysselsettingsvekst10]]&gt;=I$435,I$435,Tabell2[[#This Row],[Sysselsettingsvekst10]]))</f>
        <v>-9.2570207570207563E-2</v>
      </c>
      <c r="T215" s="24">
        <f>IF(Tabell2[[#This Row],[Yrkesaktivandel]]&lt;=J$434,J$434,IF(Tabell2[[#This Row],[Yrkesaktivandel]]&gt;=J$435,J$435,Tabell2[[#This Row],[Yrkesaktivandel]]))</f>
        <v>0.94066914614326791</v>
      </c>
      <c r="U215" s="24">
        <f>IF(Tabell2[[#This Row],[Inntekt]]&lt;=K$434,K$434,IF(Tabell2[[#This Row],[Inntekt]]&gt;=K$435,K$435,Tabell2[[#This Row],[Inntekt]]))</f>
        <v>366200</v>
      </c>
      <c r="V215" s="7">
        <f>IF(Tabell2[[#This Row],[NIBR11-T]]&lt;=L$437,100,IF(Tabell2[[#This Row],[NIBR11-T]]&gt;=L$436,0,100*(L$436-Tabell2[[#This Row],[NIBR11-T]])/L$439))</f>
        <v>50</v>
      </c>
      <c r="W215" s="7">
        <f>(M$436-Tabell2[[#This Row],[ReisetidOslo-T]])*100/M$439</f>
        <v>11.037659963446036</v>
      </c>
      <c r="X215" s="7">
        <f>100-(N$436-Tabell2[[#This Row],[Beftettland-T]])*100/N$439</f>
        <v>2.2818563876881797</v>
      </c>
      <c r="Y215" s="7">
        <f>100-(O$436-Tabell2[[#This Row],[Beftettotal-T]])*100/O$439</f>
        <v>2.3057821911073404</v>
      </c>
      <c r="Z215" s="7">
        <f>100-(P$436-Tabell2[[#This Row],[Befvekst10-T]])*100/P$439</f>
        <v>1.6699400797677129</v>
      </c>
      <c r="AA215" s="7">
        <f>100-(Q$436-Tabell2[[#This Row],[Kvinneandel-T]])*100/Q$439</f>
        <v>44.659695373539826</v>
      </c>
      <c r="AB215" s="7">
        <f>(R$436-Tabell2[[#This Row],[Eldreandel-T]])*100/R$439</f>
        <v>12.555304265899354</v>
      </c>
      <c r="AC215" s="7">
        <f>100-(S$436-Tabell2[[#This Row],[Sysselsettingsvekst10-T]])*100/S$439</f>
        <v>0</v>
      </c>
      <c r="AD215" s="7">
        <f>100-(T$436-Tabell2[[#This Row],[Yrkesaktivandel-T]])*100/T$439</f>
        <v>100</v>
      </c>
      <c r="AE215" s="7">
        <f>100-(U$436-Tabell2[[#This Row],[Inntekt-T]])*100/U$439</f>
        <v>24.590903961178199</v>
      </c>
      <c r="AF215" s="7">
        <v>10</v>
      </c>
      <c r="AG215" s="7">
        <v>1.1037659963446036</v>
      </c>
      <c r="AH215" s="7">
        <v>0.23057821911073406</v>
      </c>
      <c r="AI215" s="7">
        <v>0.33398801595354261</v>
      </c>
      <c r="AJ215" s="7">
        <v>2.2329847686769915</v>
      </c>
      <c r="AK215" s="7">
        <v>0.62776521329496771</v>
      </c>
      <c r="AL215" s="7">
        <v>0</v>
      </c>
      <c r="AM215" s="7">
        <v>10</v>
      </c>
      <c r="AN215" s="7">
        <v>2.4590903961178201</v>
      </c>
      <c r="AO21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26.988172609498658</v>
      </c>
    </row>
    <row r="216" spans="1:41" x14ac:dyDescent="0.3">
      <c r="A216" s="2" t="s">
        <v>213</v>
      </c>
      <c r="B216">
        <f>'Rådata-K'!N215</f>
        <v>6</v>
      </c>
      <c r="C216" s="7">
        <f>'Rådata-K'!M215</f>
        <v>236.15</v>
      </c>
      <c r="D216" s="24">
        <f>'Rådata-K'!O215</f>
        <v>8.3331407708660699</v>
      </c>
      <c r="E216" s="24">
        <f>'Rådata-K'!P215</f>
        <v>7.9881050608868049</v>
      </c>
      <c r="F216" s="24">
        <f>'Rådata-K'!Q215</f>
        <v>4.3022415039768669E-2</v>
      </c>
      <c r="G216" s="24">
        <f>'Rådata-K'!R215</f>
        <v>0.11133448873483535</v>
      </c>
      <c r="H216" s="24">
        <f>'Rådata-K'!S215</f>
        <v>0.18259965337954939</v>
      </c>
      <c r="I216" s="24">
        <f>'Rådata-K'!T215</f>
        <v>9.1770652345601E-2</v>
      </c>
      <c r="J216" s="24">
        <f>'Rådata-K'!U215</f>
        <v>0.91805747270673865</v>
      </c>
      <c r="K216" s="24">
        <f>'Rådata-K'!L215</f>
        <v>388300</v>
      </c>
      <c r="L216" s="24">
        <f>Tabell2[[#This Row],[NIBR11]]</f>
        <v>6</v>
      </c>
      <c r="M216" s="24">
        <f>IF(Tabell2[[#This Row],[ReisetidOslo]]&lt;=C$434,C$434,IF(Tabell2[[#This Row],[ReisetidOslo]]&gt;=C$435,C$435,Tabell2[[#This Row],[ReisetidOslo]]))</f>
        <v>236.15</v>
      </c>
      <c r="N216" s="24">
        <f>IF(Tabell2[[#This Row],[Beftettland]]&lt;=D$434,D$434,IF(Tabell2[[#This Row],[Beftettland]]&gt;=D$435,D$435,Tabell2[[#This Row],[Beftettland]]))</f>
        <v>8.3331407708660699</v>
      </c>
      <c r="O216" s="24">
        <f>IF(Tabell2[[#This Row],[Beftettotal]]&lt;=E$434,E$434,IF(Tabell2[[#This Row],[Beftettotal]]&gt;=E$435,E$435,Tabell2[[#This Row],[Beftettotal]]))</f>
        <v>7.9881050608868049</v>
      </c>
      <c r="P216" s="24">
        <f>IF(Tabell2[[#This Row],[Befvekst10]]&lt;=F$434,F$434,IF(Tabell2[[#This Row],[Befvekst10]]&gt;=F$435,F$435,Tabell2[[#This Row],[Befvekst10]]))</f>
        <v>4.3022415039768669E-2</v>
      </c>
      <c r="Q216" s="24">
        <f>IF(Tabell2[[#This Row],[Kvinneandel]]&lt;=G$434,G$434,IF(Tabell2[[#This Row],[Kvinneandel]]&gt;=G$435,G$435,Tabell2[[#This Row],[Kvinneandel]]))</f>
        <v>0.11133448873483535</v>
      </c>
      <c r="R216" s="24">
        <f>IF(Tabell2[[#This Row],[Eldreandel]]&lt;=H$434,H$434,IF(Tabell2[[#This Row],[Eldreandel]]&gt;=H$435,H$435,Tabell2[[#This Row],[Eldreandel]]))</f>
        <v>0.18259965337954939</v>
      </c>
      <c r="S216" s="24">
        <f>IF(Tabell2[[#This Row],[Sysselsettingsvekst10]]&lt;=I$434,I$434,IF(Tabell2[[#This Row],[Sysselsettingsvekst10]]&gt;=I$435,I$435,Tabell2[[#This Row],[Sysselsettingsvekst10]]))</f>
        <v>9.1770652345601E-2</v>
      </c>
      <c r="T216" s="24">
        <f>IF(Tabell2[[#This Row],[Yrkesaktivandel]]&lt;=J$434,J$434,IF(Tabell2[[#This Row],[Yrkesaktivandel]]&gt;=J$435,J$435,Tabell2[[#This Row],[Yrkesaktivandel]]))</f>
        <v>0.91805747270673865</v>
      </c>
      <c r="U216" s="24">
        <f>IF(Tabell2[[#This Row],[Inntekt]]&lt;=K$434,K$434,IF(Tabell2[[#This Row],[Inntekt]]&gt;=K$435,K$435,Tabell2[[#This Row],[Inntekt]]))</f>
        <v>388300</v>
      </c>
      <c r="V216" s="7">
        <f>IF(Tabell2[[#This Row],[NIBR11-T]]&lt;=L$437,100,IF(Tabell2[[#This Row],[NIBR11-T]]&gt;=L$436,0,100*(L$436-Tabell2[[#This Row],[NIBR11-T]])/L$439))</f>
        <v>50</v>
      </c>
      <c r="W216" s="7">
        <f>(M$436-Tabell2[[#This Row],[ReisetidOslo-T]])*100/M$439</f>
        <v>19.439853747723056</v>
      </c>
      <c r="X216" s="7">
        <f>100-(N$436-Tabell2[[#This Row],[Beftettland-T]])*100/N$439</f>
        <v>5.1265895805345991</v>
      </c>
      <c r="Y216" s="7">
        <f>100-(O$436-Tabell2[[#This Row],[Beftettotal-T]])*100/O$439</f>
        <v>5.1055072148171803</v>
      </c>
      <c r="Z216" s="7">
        <f>100-(P$436-Tabell2[[#This Row],[Befvekst10-T]])*100/P$439</f>
        <v>46.177276998811955</v>
      </c>
      <c r="AA216" s="7">
        <f>100-(Q$436-Tabell2[[#This Row],[Kvinneandel-T]])*100/Q$439</f>
        <v>57.303044965128727</v>
      </c>
      <c r="AB216" s="7">
        <f>(R$436-Tabell2[[#This Row],[Eldreandel-T]])*100/R$439</f>
        <v>40.719537108855398</v>
      </c>
      <c r="AC216" s="7">
        <f>100-(S$436-Tabell2[[#This Row],[Sysselsettingsvekst10-T]])*100/S$439</f>
        <v>60.1598794315723</v>
      </c>
      <c r="AD216" s="7">
        <f>100-(T$436-Tabell2[[#This Row],[Yrkesaktivandel-T]])*100/T$439</f>
        <v>84.052126410334438</v>
      </c>
      <c r="AE216" s="7">
        <f>100-(U$436-Tabell2[[#This Row],[Inntekt-T]])*100/U$439</f>
        <v>49.531655569348835</v>
      </c>
      <c r="AF216" s="7">
        <v>10</v>
      </c>
      <c r="AG216" s="7">
        <v>1.9439853747723057</v>
      </c>
      <c r="AH216" s="7">
        <v>0.51055072148171809</v>
      </c>
      <c r="AI216" s="7">
        <v>9.235455399762392</v>
      </c>
      <c r="AJ216" s="7">
        <v>2.8651522482564364</v>
      </c>
      <c r="AK216" s="7">
        <v>2.0359768554427702</v>
      </c>
      <c r="AL216" s="7">
        <v>6.0159879431572305</v>
      </c>
      <c r="AM216" s="7">
        <v>8.4052126410334438</v>
      </c>
      <c r="AN216" s="7">
        <v>4.9531655569348843</v>
      </c>
      <c r="AO21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45.965486740841179</v>
      </c>
    </row>
    <row r="217" spans="1:41" x14ac:dyDescent="0.3">
      <c r="A217" s="2" t="s">
        <v>214</v>
      </c>
      <c r="B217">
        <f>'Rådata-K'!N216</f>
        <v>5</v>
      </c>
      <c r="C217" s="7">
        <f>'Rådata-K'!M216</f>
        <v>215.61666666669998</v>
      </c>
      <c r="D217" s="24">
        <f>'Rådata-K'!O216</f>
        <v>14.599986218302094</v>
      </c>
      <c r="E217" s="24">
        <f>'Rådata-K'!P216</f>
        <v>13.747181625006082</v>
      </c>
      <c r="F217" s="24">
        <f>'Rådata-K'!Q216</f>
        <v>2.034673729833858E-2</v>
      </c>
      <c r="G217" s="24">
        <f>'Rådata-K'!R216</f>
        <v>0.10595870206489676</v>
      </c>
      <c r="H217" s="24">
        <f>'Rådata-K'!S216</f>
        <v>0.18607669616519174</v>
      </c>
      <c r="I217" s="24">
        <f>'Rådata-K'!T216</f>
        <v>-2.9981427434332741E-2</v>
      </c>
      <c r="J217" s="24">
        <f>'Rådata-K'!U216</f>
        <v>0.89776911414338312</v>
      </c>
      <c r="K217" s="24">
        <f>'Rådata-K'!L216</f>
        <v>386000</v>
      </c>
      <c r="L217" s="24">
        <f>Tabell2[[#This Row],[NIBR11]]</f>
        <v>5</v>
      </c>
      <c r="M217" s="24">
        <f>IF(Tabell2[[#This Row],[ReisetidOslo]]&lt;=C$434,C$434,IF(Tabell2[[#This Row],[ReisetidOslo]]&gt;=C$435,C$435,Tabell2[[#This Row],[ReisetidOslo]]))</f>
        <v>215.61666666669998</v>
      </c>
      <c r="N217" s="24">
        <f>IF(Tabell2[[#This Row],[Beftettland]]&lt;=D$434,D$434,IF(Tabell2[[#This Row],[Beftettland]]&gt;=D$435,D$435,Tabell2[[#This Row],[Beftettland]]))</f>
        <v>14.599986218302094</v>
      </c>
      <c r="O217" s="24">
        <f>IF(Tabell2[[#This Row],[Beftettotal]]&lt;=E$434,E$434,IF(Tabell2[[#This Row],[Beftettotal]]&gt;=E$435,E$435,Tabell2[[#This Row],[Beftettotal]]))</f>
        <v>13.747181625006082</v>
      </c>
      <c r="P217" s="24">
        <f>IF(Tabell2[[#This Row],[Befvekst10]]&lt;=F$434,F$434,IF(Tabell2[[#This Row],[Befvekst10]]&gt;=F$435,F$435,Tabell2[[#This Row],[Befvekst10]]))</f>
        <v>2.034673729833858E-2</v>
      </c>
      <c r="Q217" s="24">
        <f>IF(Tabell2[[#This Row],[Kvinneandel]]&lt;=G$434,G$434,IF(Tabell2[[#This Row],[Kvinneandel]]&gt;=G$435,G$435,Tabell2[[#This Row],[Kvinneandel]]))</f>
        <v>0.10595870206489676</v>
      </c>
      <c r="R217" s="24">
        <f>IF(Tabell2[[#This Row],[Eldreandel]]&lt;=H$434,H$434,IF(Tabell2[[#This Row],[Eldreandel]]&gt;=H$435,H$435,Tabell2[[#This Row],[Eldreandel]]))</f>
        <v>0.18607669616519174</v>
      </c>
      <c r="S217" s="24">
        <f>IF(Tabell2[[#This Row],[Sysselsettingsvekst10]]&lt;=I$434,I$434,IF(Tabell2[[#This Row],[Sysselsettingsvekst10]]&gt;=I$435,I$435,Tabell2[[#This Row],[Sysselsettingsvekst10]]))</f>
        <v>-2.9981427434332741E-2</v>
      </c>
      <c r="T217" s="24">
        <f>IF(Tabell2[[#This Row],[Yrkesaktivandel]]&lt;=J$434,J$434,IF(Tabell2[[#This Row],[Yrkesaktivandel]]&gt;=J$435,J$435,Tabell2[[#This Row],[Yrkesaktivandel]]))</f>
        <v>0.89776911414338312</v>
      </c>
      <c r="U217" s="24">
        <f>IF(Tabell2[[#This Row],[Inntekt]]&lt;=K$434,K$434,IF(Tabell2[[#This Row],[Inntekt]]&gt;=K$435,K$435,Tabell2[[#This Row],[Inntekt]]))</f>
        <v>386000</v>
      </c>
      <c r="V217" s="7">
        <f>IF(Tabell2[[#This Row],[NIBR11-T]]&lt;=L$437,100,IF(Tabell2[[#This Row],[NIBR11-T]]&gt;=L$436,0,100*(L$436-Tabell2[[#This Row],[NIBR11-T]])/L$439))</f>
        <v>60</v>
      </c>
      <c r="W217" s="7">
        <f>(M$436-Tabell2[[#This Row],[ReisetidOslo-T]])*100/M$439</f>
        <v>28.448994515532018</v>
      </c>
      <c r="X217" s="7">
        <f>100-(N$436-Tabell2[[#This Row],[Beftettland-T]])*100/N$439</f>
        <v>9.7621986205449502</v>
      </c>
      <c r="Y217" s="7">
        <f>100-(O$436-Tabell2[[#This Row],[Beftettotal-T]])*100/O$439</f>
        <v>9.5137265184503974</v>
      </c>
      <c r="Z217" s="7">
        <f>100-(P$436-Tabell2[[#This Row],[Befvekst10-T]])*100/P$439</f>
        <v>36.999045827506691</v>
      </c>
      <c r="AA217" s="7">
        <f>100-(Q$436-Tabell2[[#This Row],[Kvinneandel-T]])*100/Q$439</f>
        <v>43.180567008725141</v>
      </c>
      <c r="AB217" s="7">
        <f>(R$436-Tabell2[[#This Row],[Eldreandel-T]])*100/R$439</f>
        <v>36.966921874948255</v>
      </c>
      <c r="AC217" s="7">
        <f>100-(S$436-Tabell2[[#This Row],[Sysselsettingsvekst10-T]])*100/S$439</f>
        <v>20.425929815360007</v>
      </c>
      <c r="AD217" s="7">
        <f>100-(T$436-Tabell2[[#This Row],[Yrkesaktivandel-T]])*100/T$439</f>
        <v>69.742872448285937</v>
      </c>
      <c r="AE217" s="7">
        <f>100-(U$436-Tabell2[[#This Row],[Inntekt-T]])*100/U$439</f>
        <v>46.936011736824284</v>
      </c>
      <c r="AF217" s="7">
        <v>12</v>
      </c>
      <c r="AG217" s="7">
        <v>2.8448994515532018</v>
      </c>
      <c r="AH217" s="7">
        <v>0.95137265184503983</v>
      </c>
      <c r="AI217" s="7">
        <v>7.3998091655013383</v>
      </c>
      <c r="AJ217" s="7">
        <v>2.1590283504362571</v>
      </c>
      <c r="AK217" s="7">
        <v>1.8483460937474128</v>
      </c>
      <c r="AL217" s="7">
        <v>2.0425929815360009</v>
      </c>
      <c r="AM217" s="7">
        <v>6.9742872448285942</v>
      </c>
      <c r="AN217" s="7">
        <v>4.6936011736824286</v>
      </c>
      <c r="AO21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40.913937113130274</v>
      </c>
    </row>
    <row r="218" spans="1:41" x14ac:dyDescent="0.3">
      <c r="A218" s="2" t="s">
        <v>215</v>
      </c>
      <c r="B218">
        <f>'Rådata-K'!N217</f>
        <v>1</v>
      </c>
      <c r="C218" s="7">
        <f>'Rådata-K'!M217</f>
        <v>208.1666666667</v>
      </c>
      <c r="D218" s="24">
        <f>'Rådata-K'!O217</f>
        <v>10.95812954114953</v>
      </c>
      <c r="E218" s="24">
        <f>'Rådata-K'!P217</f>
        <v>10.25858190191356</v>
      </c>
      <c r="F218" s="24">
        <f>'Rådata-K'!Q217</f>
        <v>3.8863575448941257E-2</v>
      </c>
      <c r="G218" s="24">
        <f>'Rådata-K'!R217</f>
        <v>9.9587203302373584E-2</v>
      </c>
      <c r="H218" s="24">
        <f>'Rådata-K'!S217</f>
        <v>0.17492260061919504</v>
      </c>
      <c r="I218" s="24">
        <f>'Rådata-K'!T217</f>
        <v>0.10061832490163014</v>
      </c>
      <c r="J218" s="24">
        <f>'Rådata-K'!U217</f>
        <v>0.92053614169459075</v>
      </c>
      <c r="K218" s="24">
        <f>'Rådata-K'!L217</f>
        <v>423100</v>
      </c>
      <c r="L218" s="24">
        <f>Tabell2[[#This Row],[NIBR11]]</f>
        <v>1</v>
      </c>
      <c r="M218" s="24">
        <f>IF(Tabell2[[#This Row],[ReisetidOslo]]&lt;=C$434,C$434,IF(Tabell2[[#This Row],[ReisetidOslo]]&gt;=C$435,C$435,Tabell2[[#This Row],[ReisetidOslo]]))</f>
        <v>208.1666666667</v>
      </c>
      <c r="N218" s="24">
        <f>IF(Tabell2[[#This Row],[Beftettland]]&lt;=D$434,D$434,IF(Tabell2[[#This Row],[Beftettland]]&gt;=D$435,D$435,Tabell2[[#This Row],[Beftettland]]))</f>
        <v>10.95812954114953</v>
      </c>
      <c r="O218" s="24">
        <f>IF(Tabell2[[#This Row],[Beftettotal]]&lt;=E$434,E$434,IF(Tabell2[[#This Row],[Beftettotal]]&gt;=E$435,E$435,Tabell2[[#This Row],[Beftettotal]]))</f>
        <v>10.25858190191356</v>
      </c>
      <c r="P218" s="24">
        <f>IF(Tabell2[[#This Row],[Befvekst10]]&lt;=F$434,F$434,IF(Tabell2[[#This Row],[Befvekst10]]&gt;=F$435,F$435,Tabell2[[#This Row],[Befvekst10]]))</f>
        <v>3.8863575448941257E-2</v>
      </c>
      <c r="Q218" s="24">
        <f>IF(Tabell2[[#This Row],[Kvinneandel]]&lt;=G$434,G$434,IF(Tabell2[[#This Row],[Kvinneandel]]&gt;=G$435,G$435,Tabell2[[#This Row],[Kvinneandel]]))</f>
        <v>9.9587203302373584E-2</v>
      </c>
      <c r="R218" s="24">
        <f>IF(Tabell2[[#This Row],[Eldreandel]]&lt;=H$434,H$434,IF(Tabell2[[#This Row],[Eldreandel]]&gt;=H$435,H$435,Tabell2[[#This Row],[Eldreandel]]))</f>
        <v>0.17492260061919504</v>
      </c>
      <c r="S218" s="24">
        <f>IF(Tabell2[[#This Row],[Sysselsettingsvekst10]]&lt;=I$434,I$434,IF(Tabell2[[#This Row],[Sysselsettingsvekst10]]&gt;=I$435,I$435,Tabell2[[#This Row],[Sysselsettingsvekst10]]))</f>
        <v>0.10061832490163014</v>
      </c>
      <c r="T218" s="24">
        <f>IF(Tabell2[[#This Row],[Yrkesaktivandel]]&lt;=J$434,J$434,IF(Tabell2[[#This Row],[Yrkesaktivandel]]&gt;=J$435,J$435,Tabell2[[#This Row],[Yrkesaktivandel]]))</f>
        <v>0.92053614169459075</v>
      </c>
      <c r="U218" s="24">
        <f>IF(Tabell2[[#This Row],[Inntekt]]&lt;=K$434,K$434,IF(Tabell2[[#This Row],[Inntekt]]&gt;=K$435,K$435,Tabell2[[#This Row],[Inntekt]]))</f>
        <v>423100</v>
      </c>
      <c r="V218" s="7">
        <f>IF(Tabell2[[#This Row],[NIBR11-T]]&lt;=L$437,100,IF(Tabell2[[#This Row],[NIBR11-T]]&gt;=L$436,0,100*(L$436-Tabell2[[#This Row],[NIBR11-T]])/L$439))</f>
        <v>100</v>
      </c>
      <c r="W218" s="7">
        <f>(M$436-Tabell2[[#This Row],[ReisetidOslo-T]])*100/M$439</f>
        <v>31.717733089571894</v>
      </c>
      <c r="X218" s="7">
        <f>100-(N$436-Tabell2[[#This Row],[Beftettland-T]])*100/N$439</f>
        <v>7.0683036016502996</v>
      </c>
      <c r="Y218" s="7">
        <f>100-(O$436-Tabell2[[#This Row],[Beftettotal-T]])*100/O$439</f>
        <v>6.843417750930513</v>
      </c>
      <c r="Z218" s="7">
        <f>100-(P$436-Tabell2[[#This Row],[Befvekst10-T]])*100/P$439</f>
        <v>44.493940712053487</v>
      </c>
      <c r="AA218" s="7">
        <f>100-(Q$436-Tabell2[[#This Row],[Kvinneandel-T]])*100/Q$439</f>
        <v>26.44230034234829</v>
      </c>
      <c r="AB218" s="7">
        <f>(R$436-Tabell2[[#This Row],[Eldreandel-T]])*100/R$439</f>
        <v>49.005033410187949</v>
      </c>
      <c r="AC218" s="7">
        <f>100-(S$436-Tabell2[[#This Row],[Sysselsettingsvekst10-T]])*100/S$439</f>
        <v>63.047328879642812</v>
      </c>
      <c r="AD218" s="7">
        <f>100-(T$436-Tabell2[[#This Row],[Yrkesaktivandel-T]])*100/T$439</f>
        <v>85.800316335323771</v>
      </c>
      <c r="AE218" s="7">
        <f>100-(U$436-Tabell2[[#This Row],[Inntekt-T]])*100/U$439</f>
        <v>88.80487529624196</v>
      </c>
      <c r="AF218" s="7">
        <v>20</v>
      </c>
      <c r="AG218" s="7">
        <v>3.1717733089571896</v>
      </c>
      <c r="AH218" s="7">
        <v>0.68434177509305139</v>
      </c>
      <c r="AI218" s="7">
        <v>8.898788142410698</v>
      </c>
      <c r="AJ218" s="7">
        <v>1.3221150171174145</v>
      </c>
      <c r="AK218" s="7">
        <v>2.4502516705093975</v>
      </c>
      <c r="AL218" s="7">
        <v>6.3047328879642812</v>
      </c>
      <c r="AM218" s="7">
        <v>8.5800316335323767</v>
      </c>
      <c r="AN218" s="7">
        <v>8.8804875296241956</v>
      </c>
      <c r="AO21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60.292521965208607</v>
      </c>
    </row>
    <row r="219" spans="1:41" x14ac:dyDescent="0.3">
      <c r="A219" s="2" t="s">
        <v>216</v>
      </c>
      <c r="B219">
        <f>'Rådata-K'!N218</f>
        <v>1</v>
      </c>
      <c r="C219" s="7">
        <f>'Rådata-K'!M218</f>
        <v>195.26666666669999</v>
      </c>
      <c r="D219" s="24">
        <f>'Rådata-K'!O218</f>
        <v>9.4884840952343961</v>
      </c>
      <c r="E219" s="24">
        <f>'Rådata-K'!P218</f>
        <v>9.0794217118222011</v>
      </c>
      <c r="F219" s="24">
        <f>'Rådata-K'!Q218</f>
        <v>4.3571123451516369E-2</v>
      </c>
      <c r="G219" s="24">
        <f>'Rådata-K'!R218</f>
        <v>0.11379451494064674</v>
      </c>
      <c r="H219" s="24">
        <f>'Rådata-K'!S218</f>
        <v>0.16659844453540729</v>
      </c>
      <c r="I219" s="24">
        <f>'Rådata-K'!T218</f>
        <v>4.3715846994535568E-2</v>
      </c>
      <c r="J219" s="24">
        <f>'Rådata-K'!U218</f>
        <v>0.86109090909090913</v>
      </c>
      <c r="K219" s="24">
        <f>'Rådata-K'!L218</f>
        <v>407100</v>
      </c>
      <c r="L219" s="24">
        <f>Tabell2[[#This Row],[NIBR11]]</f>
        <v>1</v>
      </c>
      <c r="M219" s="24">
        <f>IF(Tabell2[[#This Row],[ReisetidOslo]]&lt;=C$434,C$434,IF(Tabell2[[#This Row],[ReisetidOslo]]&gt;=C$435,C$435,Tabell2[[#This Row],[ReisetidOslo]]))</f>
        <v>195.26666666669999</v>
      </c>
      <c r="N219" s="24">
        <f>IF(Tabell2[[#This Row],[Beftettland]]&lt;=D$434,D$434,IF(Tabell2[[#This Row],[Beftettland]]&gt;=D$435,D$435,Tabell2[[#This Row],[Beftettland]]))</f>
        <v>9.4884840952343961</v>
      </c>
      <c r="O219" s="24">
        <f>IF(Tabell2[[#This Row],[Beftettotal]]&lt;=E$434,E$434,IF(Tabell2[[#This Row],[Beftettotal]]&gt;=E$435,E$435,Tabell2[[#This Row],[Beftettotal]]))</f>
        <v>9.0794217118222011</v>
      </c>
      <c r="P219" s="24">
        <f>IF(Tabell2[[#This Row],[Befvekst10]]&lt;=F$434,F$434,IF(Tabell2[[#This Row],[Befvekst10]]&gt;=F$435,F$435,Tabell2[[#This Row],[Befvekst10]]))</f>
        <v>4.3571123451516369E-2</v>
      </c>
      <c r="Q219" s="24">
        <f>IF(Tabell2[[#This Row],[Kvinneandel]]&lt;=G$434,G$434,IF(Tabell2[[#This Row],[Kvinneandel]]&gt;=G$435,G$435,Tabell2[[#This Row],[Kvinneandel]]))</f>
        <v>0.11379451494064674</v>
      </c>
      <c r="R219" s="24">
        <f>IF(Tabell2[[#This Row],[Eldreandel]]&lt;=H$434,H$434,IF(Tabell2[[#This Row],[Eldreandel]]&gt;=H$435,H$435,Tabell2[[#This Row],[Eldreandel]]))</f>
        <v>0.16659844453540729</v>
      </c>
      <c r="S219" s="24">
        <f>IF(Tabell2[[#This Row],[Sysselsettingsvekst10]]&lt;=I$434,I$434,IF(Tabell2[[#This Row],[Sysselsettingsvekst10]]&gt;=I$435,I$435,Tabell2[[#This Row],[Sysselsettingsvekst10]]))</f>
        <v>4.3715846994535568E-2</v>
      </c>
      <c r="T219" s="24">
        <f>IF(Tabell2[[#This Row],[Yrkesaktivandel]]&lt;=J$434,J$434,IF(Tabell2[[#This Row],[Yrkesaktivandel]]&gt;=J$435,J$435,Tabell2[[#This Row],[Yrkesaktivandel]]))</f>
        <v>0.86109090909090913</v>
      </c>
      <c r="U219" s="24">
        <f>IF(Tabell2[[#This Row],[Inntekt]]&lt;=K$434,K$434,IF(Tabell2[[#This Row],[Inntekt]]&gt;=K$435,K$435,Tabell2[[#This Row],[Inntekt]]))</f>
        <v>407100</v>
      </c>
      <c r="V219" s="7">
        <f>IF(Tabell2[[#This Row],[NIBR11-T]]&lt;=L$437,100,IF(Tabell2[[#This Row],[NIBR11-T]]&gt;=L$436,0,100*(L$436-Tabell2[[#This Row],[NIBR11-T]])/L$439))</f>
        <v>100</v>
      </c>
      <c r="W219" s="7">
        <f>(M$436-Tabell2[[#This Row],[ReisetidOslo-T]])*100/M$439</f>
        <v>37.377696526500017</v>
      </c>
      <c r="X219" s="7">
        <f>100-(N$436-Tabell2[[#This Row],[Beftettland-T]])*100/N$439</f>
        <v>5.9812013630780143</v>
      </c>
      <c r="Y219" s="7">
        <f>100-(O$436-Tabell2[[#This Row],[Beftettotal-T]])*100/O$439</f>
        <v>5.9408430665754679</v>
      </c>
      <c r="Z219" s="7">
        <f>100-(P$436-Tabell2[[#This Row],[Befvekst10-T]])*100/P$439</f>
        <v>46.399372792643895</v>
      </c>
      <c r="AA219" s="7">
        <f>100-(Q$436-Tabell2[[#This Row],[Kvinneandel-T]])*100/Q$439</f>
        <v>63.765664856282875</v>
      </c>
      <c r="AB219" s="7">
        <f>(R$436-Tabell2[[#This Row],[Eldreandel-T]])*100/R$439</f>
        <v>57.988919101336265</v>
      </c>
      <c r="AC219" s="7">
        <f>100-(S$436-Tabell2[[#This Row],[Sysselsettingsvekst10-T]])*100/S$439</f>
        <v>44.477131193617225</v>
      </c>
      <c r="AD219" s="7">
        <f>100-(T$436-Tabell2[[#This Row],[Yrkesaktivandel-T]])*100/T$439</f>
        <v>43.873961006830385</v>
      </c>
      <c r="AE219" s="7">
        <f>100-(U$436-Tabell2[[#This Row],[Inntekt-T]])*100/U$439</f>
        <v>70.748222548245124</v>
      </c>
      <c r="AF219" s="7">
        <v>20</v>
      </c>
      <c r="AG219" s="7">
        <v>3.7377696526500017</v>
      </c>
      <c r="AH219" s="7">
        <v>0.59408430665754686</v>
      </c>
      <c r="AI219" s="7">
        <v>9.2798745585287801</v>
      </c>
      <c r="AJ219" s="7">
        <v>3.1882832428141441</v>
      </c>
      <c r="AK219" s="7">
        <v>2.8994459550668132</v>
      </c>
      <c r="AL219" s="7">
        <v>4.4477131193617225</v>
      </c>
      <c r="AM219" s="7">
        <v>4.3873961006830386</v>
      </c>
      <c r="AN219" s="7">
        <v>7.0748222548245128</v>
      </c>
      <c r="AO21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55.609389190586562</v>
      </c>
    </row>
    <row r="220" spans="1:41" x14ac:dyDescent="0.3">
      <c r="A220" s="2" t="s">
        <v>217</v>
      </c>
      <c r="B220">
        <f>'Rådata-K'!N219</f>
        <v>1</v>
      </c>
      <c r="C220" s="7">
        <f>'Rådata-K'!M219</f>
        <v>162.1</v>
      </c>
      <c r="D220" s="24">
        <f>'Rådata-K'!O219</f>
        <v>147.90230746179205</v>
      </c>
      <c r="E220" s="24">
        <f>'Rådata-K'!P219</f>
        <v>141.4487354015906</v>
      </c>
      <c r="F220" s="24">
        <f>'Rådata-K'!Q219</f>
        <v>0.29370904325032776</v>
      </c>
      <c r="G220" s="24">
        <f>'Rådata-K'!R219</f>
        <v>0.13230675716746024</v>
      </c>
      <c r="H220" s="24">
        <f>'Rådata-K'!S219</f>
        <v>0.12065646844291358</v>
      </c>
      <c r="I220" s="24">
        <f>'Rådata-K'!T219</f>
        <v>0.13531746031746028</v>
      </c>
      <c r="J220" s="24">
        <f>'Rådata-K'!U219</f>
        <v>0.86734693877551017</v>
      </c>
      <c r="K220" s="24">
        <f>'Rådata-K'!L219</f>
        <v>434100</v>
      </c>
      <c r="L220" s="24">
        <f>Tabell2[[#This Row],[NIBR11]]</f>
        <v>1</v>
      </c>
      <c r="M220" s="24">
        <f>IF(Tabell2[[#This Row],[ReisetidOslo]]&lt;=C$434,C$434,IF(Tabell2[[#This Row],[ReisetidOslo]]&gt;=C$435,C$435,Tabell2[[#This Row],[ReisetidOslo]]))</f>
        <v>162.1</v>
      </c>
      <c r="N220" s="24">
        <f>IF(Tabell2[[#This Row],[Beftettland]]&lt;=D$434,D$434,IF(Tabell2[[#This Row],[Beftettland]]&gt;=D$435,D$435,Tabell2[[#This Row],[Beftettland]]))</f>
        <v>136.59179999736304</v>
      </c>
      <c r="O220" s="24">
        <f>IF(Tabell2[[#This Row],[Beftettotal]]&lt;=E$434,E$434,IF(Tabell2[[#This Row],[Beftettotal]]&gt;=E$435,E$435,Tabell2[[#This Row],[Beftettotal]]))</f>
        <v>131.96212083018065</v>
      </c>
      <c r="P220" s="24">
        <f>IF(Tabell2[[#This Row],[Befvekst10]]&lt;=F$434,F$434,IF(Tabell2[[#This Row],[Befvekst10]]&gt;=F$435,F$435,Tabell2[[#This Row],[Befvekst10]]))</f>
        <v>0.17599648151968622</v>
      </c>
      <c r="Q220" s="24">
        <f>IF(Tabell2[[#This Row],[Kvinneandel]]&lt;=G$434,G$434,IF(Tabell2[[#This Row],[Kvinneandel]]&gt;=G$435,G$435,Tabell2[[#This Row],[Kvinneandel]]))</f>
        <v>0.12758728250318055</v>
      </c>
      <c r="R220" s="24">
        <f>IF(Tabell2[[#This Row],[Eldreandel]]&lt;=H$434,H$434,IF(Tabell2[[#This Row],[Eldreandel]]&gt;=H$435,H$435,Tabell2[[#This Row],[Eldreandel]]))</f>
        <v>0.12767243783057225</v>
      </c>
      <c r="S220" s="24">
        <f>IF(Tabell2[[#This Row],[Sysselsettingsvekst10]]&lt;=I$434,I$434,IF(Tabell2[[#This Row],[Sysselsettingsvekst10]]&gt;=I$435,I$435,Tabell2[[#This Row],[Sysselsettingsvekst10]]))</f>
        <v>0.13531746031746028</v>
      </c>
      <c r="T220" s="24">
        <f>IF(Tabell2[[#This Row],[Yrkesaktivandel]]&lt;=J$434,J$434,IF(Tabell2[[#This Row],[Yrkesaktivandel]]&gt;=J$435,J$435,Tabell2[[#This Row],[Yrkesaktivandel]]))</f>
        <v>0.86734693877551017</v>
      </c>
      <c r="U220" s="24">
        <f>IF(Tabell2[[#This Row],[Inntekt]]&lt;=K$434,K$434,IF(Tabell2[[#This Row],[Inntekt]]&gt;=K$435,K$435,Tabell2[[#This Row],[Inntekt]]))</f>
        <v>433020</v>
      </c>
      <c r="V220" s="7">
        <f>IF(Tabell2[[#This Row],[NIBR11-T]]&lt;=L$437,100,IF(Tabell2[[#This Row],[NIBR11-T]]&gt;=L$436,0,100*(L$436-Tabell2[[#This Row],[NIBR11-T]])/L$439))</f>
        <v>100</v>
      </c>
      <c r="W220" s="7">
        <f>(M$436-Tabell2[[#This Row],[ReisetidOslo-T]])*100/M$439</f>
        <v>51.929798903112783</v>
      </c>
      <c r="X220" s="7">
        <f>100-(N$436-Tabell2[[#This Row],[Beftettland-T]])*100/N$439</f>
        <v>100</v>
      </c>
      <c r="Y220" s="7">
        <f>100-(O$436-Tabell2[[#This Row],[Beftettotal-T]])*100/O$439</f>
        <v>100</v>
      </c>
      <c r="Z220" s="7">
        <f>100-(P$436-Tabell2[[#This Row],[Befvekst10-T]])*100/P$439</f>
        <v>100</v>
      </c>
      <c r="AA220" s="7">
        <f>100-(Q$436-Tabell2[[#This Row],[Kvinneandel-T]])*100/Q$439</f>
        <v>100</v>
      </c>
      <c r="AB220" s="7">
        <f>(R$436-Tabell2[[#This Row],[Eldreandel-T]])*100/R$439</f>
        <v>100</v>
      </c>
      <c r="AC220" s="7">
        <f>100-(S$436-Tabell2[[#This Row],[Sysselsettingsvekst10-T]])*100/S$439</f>
        <v>74.371436860638099</v>
      </c>
      <c r="AD220" s="7">
        <f>100-(T$436-Tabell2[[#This Row],[Yrkesaktivandel-T]])*100/T$439</f>
        <v>48.286300096339488</v>
      </c>
      <c r="AE220" s="7">
        <f>100-(U$436-Tabell2[[#This Row],[Inntekt-T]])*100/U$439</f>
        <v>100</v>
      </c>
      <c r="AF220" s="7">
        <v>20</v>
      </c>
      <c r="AG220" s="7">
        <v>5.1929798903112783</v>
      </c>
      <c r="AH220" s="7">
        <v>10</v>
      </c>
      <c r="AI220" s="7">
        <v>20</v>
      </c>
      <c r="AJ220" s="7">
        <v>5</v>
      </c>
      <c r="AK220" s="7">
        <v>5</v>
      </c>
      <c r="AL220" s="7">
        <v>7.43714368606381</v>
      </c>
      <c r="AM220" s="7">
        <v>4.8286300096339492</v>
      </c>
      <c r="AN220" s="7">
        <v>10</v>
      </c>
      <c r="AO22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87.458753586009038</v>
      </c>
    </row>
    <row r="221" spans="1:41" x14ac:dyDescent="0.3">
      <c r="A221" s="2" t="s">
        <v>218</v>
      </c>
      <c r="B221">
        <f>'Rådata-K'!N220</f>
        <v>5</v>
      </c>
      <c r="C221" s="7">
        <f>'Rådata-K'!M220</f>
        <v>220.96666666670001</v>
      </c>
      <c r="D221" s="24">
        <f>'Rådata-K'!O220</f>
        <v>44.804342116781932</v>
      </c>
      <c r="E221" s="24">
        <f>'Rådata-K'!P220</f>
        <v>43.676395289298512</v>
      </c>
      <c r="F221" s="24">
        <f>'Rådata-K'!Q220</f>
        <v>0.16556593031200184</v>
      </c>
      <c r="G221" s="24">
        <f>'Rådata-K'!R220</f>
        <v>0.12758890191481048</v>
      </c>
      <c r="H221" s="24">
        <f>'Rådata-K'!S220</f>
        <v>0.13735834310277453</v>
      </c>
      <c r="I221" s="24">
        <f>'Rådata-K'!T220</f>
        <v>0.3482056256062076</v>
      </c>
      <c r="J221" s="24">
        <f>'Rådata-K'!U220</f>
        <v>0.91105685385420299</v>
      </c>
      <c r="K221" s="24">
        <f>'Rådata-K'!L220</f>
        <v>505200</v>
      </c>
      <c r="L221" s="24">
        <f>Tabell2[[#This Row],[NIBR11]]</f>
        <v>5</v>
      </c>
      <c r="M221" s="24">
        <f>IF(Tabell2[[#This Row],[ReisetidOslo]]&lt;=C$434,C$434,IF(Tabell2[[#This Row],[ReisetidOslo]]&gt;=C$435,C$435,Tabell2[[#This Row],[ReisetidOslo]]))</f>
        <v>220.96666666670001</v>
      </c>
      <c r="N221" s="24">
        <f>IF(Tabell2[[#This Row],[Beftettland]]&lt;=D$434,D$434,IF(Tabell2[[#This Row],[Beftettland]]&gt;=D$435,D$435,Tabell2[[#This Row],[Beftettland]]))</f>
        <v>44.804342116781932</v>
      </c>
      <c r="O221" s="24">
        <f>IF(Tabell2[[#This Row],[Beftettotal]]&lt;=E$434,E$434,IF(Tabell2[[#This Row],[Beftettotal]]&gt;=E$435,E$435,Tabell2[[#This Row],[Beftettotal]]))</f>
        <v>43.676395289298512</v>
      </c>
      <c r="P221" s="24">
        <f>IF(Tabell2[[#This Row],[Befvekst10]]&lt;=F$434,F$434,IF(Tabell2[[#This Row],[Befvekst10]]&gt;=F$435,F$435,Tabell2[[#This Row],[Befvekst10]]))</f>
        <v>0.16556593031200184</v>
      </c>
      <c r="Q221" s="24">
        <f>IF(Tabell2[[#This Row],[Kvinneandel]]&lt;=G$434,G$434,IF(Tabell2[[#This Row],[Kvinneandel]]&gt;=G$435,G$435,Tabell2[[#This Row],[Kvinneandel]]))</f>
        <v>0.12758728250318055</v>
      </c>
      <c r="R221" s="24">
        <f>IF(Tabell2[[#This Row],[Eldreandel]]&lt;=H$434,H$434,IF(Tabell2[[#This Row],[Eldreandel]]&gt;=H$435,H$435,Tabell2[[#This Row],[Eldreandel]]))</f>
        <v>0.13735834310277453</v>
      </c>
      <c r="S221" s="24">
        <f>IF(Tabell2[[#This Row],[Sysselsettingsvekst10]]&lt;=I$434,I$434,IF(Tabell2[[#This Row],[Sysselsettingsvekst10]]&gt;=I$435,I$435,Tabell2[[#This Row],[Sysselsettingsvekst10]]))</f>
        <v>0.21384805931725109</v>
      </c>
      <c r="T221" s="24">
        <f>IF(Tabell2[[#This Row],[Yrkesaktivandel]]&lt;=J$434,J$434,IF(Tabell2[[#This Row],[Yrkesaktivandel]]&gt;=J$435,J$435,Tabell2[[#This Row],[Yrkesaktivandel]]))</f>
        <v>0.91105685385420299</v>
      </c>
      <c r="U221" s="24">
        <f>IF(Tabell2[[#This Row],[Inntekt]]&lt;=K$434,K$434,IF(Tabell2[[#This Row],[Inntekt]]&gt;=K$435,K$435,Tabell2[[#This Row],[Inntekt]]))</f>
        <v>433020</v>
      </c>
      <c r="V221" s="7">
        <f>IF(Tabell2[[#This Row],[NIBR11-T]]&lt;=L$437,100,IF(Tabell2[[#This Row],[NIBR11-T]]&gt;=L$436,0,100*(L$436-Tabell2[[#This Row],[NIBR11-T]])/L$439))</f>
        <v>60</v>
      </c>
      <c r="W221" s="7">
        <f>(M$436-Tabell2[[#This Row],[ReisetidOslo-T]])*100/M$439</f>
        <v>26.101645338201351</v>
      </c>
      <c r="X221" s="7">
        <f>100-(N$436-Tabell2[[#This Row],[Beftettland-T]])*100/N$439</f>
        <v>32.104473761216894</v>
      </c>
      <c r="Y221" s="7">
        <f>100-(O$436-Tabell2[[#This Row],[Beftettotal-T]])*100/O$439</f>
        <v>32.422700891093413</v>
      </c>
      <c r="Z221" s="7">
        <f>100-(P$436-Tabell2[[#This Row],[Befvekst10-T]])*100/P$439</f>
        <v>95.778119123057053</v>
      </c>
      <c r="AA221" s="7">
        <f>100-(Q$436-Tabell2[[#This Row],[Kvinneandel-T]])*100/Q$439</f>
        <v>100</v>
      </c>
      <c r="AB221" s="7">
        <f>(R$436-Tabell2[[#This Row],[Eldreandel-T]])*100/R$439</f>
        <v>89.546439914764221</v>
      </c>
      <c r="AC221" s="7">
        <f>100-(S$436-Tabell2[[#This Row],[Sysselsettingsvekst10-T]])*100/S$439</f>
        <v>100</v>
      </c>
      <c r="AD221" s="7">
        <f>100-(T$436-Tabell2[[#This Row],[Yrkesaktivandel-T]])*100/T$439</f>
        <v>79.114633180430204</v>
      </c>
      <c r="AE221" s="7">
        <f>100-(U$436-Tabell2[[#This Row],[Inntekt-T]])*100/U$439</f>
        <v>100</v>
      </c>
      <c r="AF221" s="7">
        <v>12</v>
      </c>
      <c r="AG221" s="7">
        <v>2.6101645338201354</v>
      </c>
      <c r="AH221" s="7">
        <v>3.2422700891093417</v>
      </c>
      <c r="AI221" s="7">
        <v>19.155623824611411</v>
      </c>
      <c r="AJ221" s="7">
        <v>5</v>
      </c>
      <c r="AK221" s="7">
        <v>4.4773219957382109</v>
      </c>
      <c r="AL221" s="7">
        <v>10</v>
      </c>
      <c r="AM221" s="7">
        <v>7.9114633180430207</v>
      </c>
      <c r="AN221" s="7">
        <v>10</v>
      </c>
      <c r="AO22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74.396843761322117</v>
      </c>
    </row>
    <row r="222" spans="1:41" x14ac:dyDescent="0.3">
      <c r="A222" s="2" t="s">
        <v>219</v>
      </c>
      <c r="B222">
        <f>'Rådata-K'!N221</f>
        <v>1</v>
      </c>
      <c r="C222" s="7">
        <f>'Rådata-K'!M221</f>
        <v>185.36666666669998</v>
      </c>
      <c r="D222" s="24">
        <f>'Rådata-K'!O221</f>
        <v>73.669201520912537</v>
      </c>
      <c r="E222" s="24">
        <f>'Rådata-K'!P221</f>
        <v>70.072332730560575</v>
      </c>
      <c r="F222" s="24">
        <f>'Rådata-K'!Q221</f>
        <v>0.24910458452722062</v>
      </c>
      <c r="G222" s="24">
        <f>'Rådata-K'!R221</f>
        <v>0.12960573476702508</v>
      </c>
      <c r="H222" s="24">
        <f>'Rådata-K'!S221</f>
        <v>0.11956989247311828</v>
      </c>
      <c r="I222" s="24">
        <f>'Rådata-K'!T221</f>
        <v>0.14999999999999991</v>
      </c>
      <c r="J222" s="24">
        <f>'Rådata-K'!U221</f>
        <v>0.83100349475786317</v>
      </c>
      <c r="K222" s="24">
        <f>'Rådata-K'!L221</f>
        <v>420700</v>
      </c>
      <c r="L222" s="24">
        <f>Tabell2[[#This Row],[NIBR11]]</f>
        <v>1</v>
      </c>
      <c r="M222" s="24">
        <f>IF(Tabell2[[#This Row],[ReisetidOslo]]&lt;=C$434,C$434,IF(Tabell2[[#This Row],[ReisetidOslo]]&gt;=C$435,C$435,Tabell2[[#This Row],[ReisetidOslo]]))</f>
        <v>185.36666666669998</v>
      </c>
      <c r="N222" s="24">
        <f>IF(Tabell2[[#This Row],[Beftettland]]&lt;=D$434,D$434,IF(Tabell2[[#This Row],[Beftettland]]&gt;=D$435,D$435,Tabell2[[#This Row],[Beftettland]]))</f>
        <v>73.669201520912537</v>
      </c>
      <c r="O222" s="24">
        <f>IF(Tabell2[[#This Row],[Beftettotal]]&lt;=E$434,E$434,IF(Tabell2[[#This Row],[Beftettotal]]&gt;=E$435,E$435,Tabell2[[#This Row],[Beftettotal]]))</f>
        <v>70.072332730560575</v>
      </c>
      <c r="P222" s="24">
        <f>IF(Tabell2[[#This Row],[Befvekst10]]&lt;=F$434,F$434,IF(Tabell2[[#This Row],[Befvekst10]]&gt;=F$435,F$435,Tabell2[[#This Row],[Befvekst10]]))</f>
        <v>0.17599648151968622</v>
      </c>
      <c r="Q222" s="24">
        <f>IF(Tabell2[[#This Row],[Kvinneandel]]&lt;=G$434,G$434,IF(Tabell2[[#This Row],[Kvinneandel]]&gt;=G$435,G$435,Tabell2[[#This Row],[Kvinneandel]]))</f>
        <v>0.12758728250318055</v>
      </c>
      <c r="R222" s="24">
        <f>IF(Tabell2[[#This Row],[Eldreandel]]&lt;=H$434,H$434,IF(Tabell2[[#This Row],[Eldreandel]]&gt;=H$435,H$435,Tabell2[[#This Row],[Eldreandel]]))</f>
        <v>0.12767243783057225</v>
      </c>
      <c r="S222" s="24">
        <f>IF(Tabell2[[#This Row],[Sysselsettingsvekst10]]&lt;=I$434,I$434,IF(Tabell2[[#This Row],[Sysselsettingsvekst10]]&gt;=I$435,I$435,Tabell2[[#This Row],[Sysselsettingsvekst10]]))</f>
        <v>0.14999999999999991</v>
      </c>
      <c r="T222" s="24">
        <f>IF(Tabell2[[#This Row],[Yrkesaktivandel]]&lt;=J$434,J$434,IF(Tabell2[[#This Row],[Yrkesaktivandel]]&gt;=J$435,J$435,Tabell2[[#This Row],[Yrkesaktivandel]]))</f>
        <v>0.83100349475786317</v>
      </c>
      <c r="U222" s="24">
        <f>IF(Tabell2[[#This Row],[Inntekt]]&lt;=K$434,K$434,IF(Tabell2[[#This Row],[Inntekt]]&gt;=K$435,K$435,Tabell2[[#This Row],[Inntekt]]))</f>
        <v>420700</v>
      </c>
      <c r="V222" s="7">
        <f>IF(Tabell2[[#This Row],[NIBR11-T]]&lt;=L$437,100,IF(Tabell2[[#This Row],[NIBR11-T]]&gt;=L$436,0,100*(L$436-Tabell2[[#This Row],[NIBR11-T]])/L$439))</f>
        <v>100</v>
      </c>
      <c r="W222" s="7">
        <f>(M$436-Tabell2[[#This Row],[ReisetidOslo-T]])*100/M$439</f>
        <v>41.721389396700673</v>
      </c>
      <c r="X222" s="7">
        <f>100-(N$436-Tabell2[[#This Row],[Beftettland-T]])*100/N$439</f>
        <v>53.455918330056576</v>
      </c>
      <c r="Y222" s="7">
        <f>100-(O$436-Tabell2[[#This Row],[Beftettotal-T]])*100/O$439</f>
        <v>52.627169380194196</v>
      </c>
      <c r="Z222" s="7">
        <f>100-(P$436-Tabell2[[#This Row],[Befvekst10-T]])*100/P$439</f>
        <v>100</v>
      </c>
      <c r="AA222" s="7">
        <f>100-(Q$436-Tabell2[[#This Row],[Kvinneandel-T]])*100/Q$439</f>
        <v>100</v>
      </c>
      <c r="AB222" s="7">
        <f>(R$436-Tabell2[[#This Row],[Eldreandel-T]])*100/R$439</f>
        <v>100</v>
      </c>
      <c r="AC222" s="7">
        <f>100-(S$436-Tabell2[[#This Row],[Sysselsettingsvekst10-T]])*100/S$439</f>
        <v>79.163102785676514</v>
      </c>
      <c r="AD222" s="7">
        <f>100-(T$436-Tabell2[[#This Row],[Yrkesaktivandel-T]])*100/T$439</f>
        <v>22.653493544738822</v>
      </c>
      <c r="AE222" s="7">
        <f>100-(U$436-Tabell2[[#This Row],[Inntekt-T]])*100/U$439</f>
        <v>86.096377384042427</v>
      </c>
      <c r="AF222" s="7">
        <v>20</v>
      </c>
      <c r="AG222" s="7">
        <v>4.1721389396700674</v>
      </c>
      <c r="AH222" s="7">
        <v>5.2627169380194196</v>
      </c>
      <c r="AI222" s="7">
        <v>20</v>
      </c>
      <c r="AJ222" s="7">
        <v>5</v>
      </c>
      <c r="AK222" s="7">
        <v>5</v>
      </c>
      <c r="AL222" s="7">
        <v>7.9163102785676518</v>
      </c>
      <c r="AM222" s="7">
        <v>2.2653493544738823</v>
      </c>
      <c r="AN222" s="7">
        <v>8.6096377384042437</v>
      </c>
      <c r="AO22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78.226153249135265</v>
      </c>
    </row>
    <row r="223" spans="1:41" x14ac:dyDescent="0.3">
      <c r="A223" s="2" t="s">
        <v>220</v>
      </c>
      <c r="B223">
        <f>'Rådata-K'!N222</f>
        <v>1</v>
      </c>
      <c r="C223" s="7">
        <f>'Rådata-K'!M222</f>
        <v>170.01666666670002</v>
      </c>
      <c r="D223" s="24">
        <f>'Rådata-K'!O222</f>
        <v>176.13314447592069</v>
      </c>
      <c r="E223" s="24">
        <f>'Rådata-K'!P222</f>
        <v>167.84774245798747</v>
      </c>
      <c r="F223" s="24">
        <f>'Rådata-K'!Q222</f>
        <v>0.21959591996861505</v>
      </c>
      <c r="G223" s="24">
        <f>'Rådata-K'!R222</f>
        <v>0.12951347004423</v>
      </c>
      <c r="H223" s="24">
        <f>'Rådata-K'!S222</f>
        <v>0.10217129071170085</v>
      </c>
      <c r="I223" s="24">
        <f>'Rådata-K'!T222</f>
        <v>0.47374429223744285</v>
      </c>
      <c r="J223" s="24">
        <f>'Rådata-K'!U222</f>
        <v>0.85530261723009815</v>
      </c>
      <c r="K223" s="24">
        <f>'Rådata-K'!L222</f>
        <v>447700</v>
      </c>
      <c r="L223" s="24">
        <f>Tabell2[[#This Row],[NIBR11]]</f>
        <v>1</v>
      </c>
      <c r="M223" s="24">
        <f>IF(Tabell2[[#This Row],[ReisetidOslo]]&lt;=C$434,C$434,IF(Tabell2[[#This Row],[ReisetidOslo]]&gt;=C$435,C$435,Tabell2[[#This Row],[ReisetidOslo]]))</f>
        <v>170.01666666670002</v>
      </c>
      <c r="N223" s="24">
        <f>IF(Tabell2[[#This Row],[Beftettland]]&lt;=D$434,D$434,IF(Tabell2[[#This Row],[Beftettland]]&gt;=D$435,D$435,Tabell2[[#This Row],[Beftettland]]))</f>
        <v>136.59179999736304</v>
      </c>
      <c r="O223" s="24">
        <f>IF(Tabell2[[#This Row],[Beftettotal]]&lt;=E$434,E$434,IF(Tabell2[[#This Row],[Beftettotal]]&gt;=E$435,E$435,Tabell2[[#This Row],[Beftettotal]]))</f>
        <v>131.96212083018065</v>
      </c>
      <c r="P223" s="24">
        <f>IF(Tabell2[[#This Row],[Befvekst10]]&lt;=F$434,F$434,IF(Tabell2[[#This Row],[Befvekst10]]&gt;=F$435,F$435,Tabell2[[#This Row],[Befvekst10]]))</f>
        <v>0.17599648151968622</v>
      </c>
      <c r="Q223" s="24">
        <f>IF(Tabell2[[#This Row],[Kvinneandel]]&lt;=G$434,G$434,IF(Tabell2[[#This Row],[Kvinneandel]]&gt;=G$435,G$435,Tabell2[[#This Row],[Kvinneandel]]))</f>
        <v>0.12758728250318055</v>
      </c>
      <c r="R223" s="24">
        <f>IF(Tabell2[[#This Row],[Eldreandel]]&lt;=H$434,H$434,IF(Tabell2[[#This Row],[Eldreandel]]&gt;=H$435,H$435,Tabell2[[#This Row],[Eldreandel]]))</f>
        <v>0.12767243783057225</v>
      </c>
      <c r="S223" s="24">
        <f>IF(Tabell2[[#This Row],[Sysselsettingsvekst10]]&lt;=I$434,I$434,IF(Tabell2[[#This Row],[Sysselsettingsvekst10]]&gt;=I$435,I$435,Tabell2[[#This Row],[Sysselsettingsvekst10]]))</f>
        <v>0.21384805931725109</v>
      </c>
      <c r="T223" s="24">
        <f>IF(Tabell2[[#This Row],[Yrkesaktivandel]]&lt;=J$434,J$434,IF(Tabell2[[#This Row],[Yrkesaktivandel]]&gt;=J$435,J$435,Tabell2[[#This Row],[Yrkesaktivandel]]))</f>
        <v>0.85530261723009815</v>
      </c>
      <c r="U223" s="24">
        <f>IF(Tabell2[[#This Row],[Inntekt]]&lt;=K$434,K$434,IF(Tabell2[[#This Row],[Inntekt]]&gt;=K$435,K$435,Tabell2[[#This Row],[Inntekt]]))</f>
        <v>433020</v>
      </c>
      <c r="V223" s="7">
        <f>IF(Tabell2[[#This Row],[NIBR11-T]]&lt;=L$437,100,IF(Tabell2[[#This Row],[NIBR11-T]]&gt;=L$436,0,100*(L$436-Tabell2[[#This Row],[NIBR11-T]])/L$439))</f>
        <v>100</v>
      </c>
      <c r="W223" s="7">
        <f>(M$436-Tabell2[[#This Row],[ReisetidOslo-T]])*100/M$439</f>
        <v>48.45630712978955</v>
      </c>
      <c r="X223" s="7">
        <f>100-(N$436-Tabell2[[#This Row],[Beftettland-T]])*100/N$439</f>
        <v>100</v>
      </c>
      <c r="Y223" s="7">
        <f>100-(O$436-Tabell2[[#This Row],[Beftettotal-T]])*100/O$439</f>
        <v>100</v>
      </c>
      <c r="Z223" s="7">
        <f>100-(P$436-Tabell2[[#This Row],[Befvekst10-T]])*100/P$439</f>
        <v>100</v>
      </c>
      <c r="AA223" s="7">
        <f>100-(Q$436-Tabell2[[#This Row],[Kvinneandel-T]])*100/Q$439</f>
        <v>100</v>
      </c>
      <c r="AB223" s="7">
        <f>(R$436-Tabell2[[#This Row],[Eldreandel-T]])*100/R$439</f>
        <v>100</v>
      </c>
      <c r="AC223" s="7">
        <f>100-(S$436-Tabell2[[#This Row],[Sysselsettingsvekst10-T]])*100/S$439</f>
        <v>100</v>
      </c>
      <c r="AD223" s="7">
        <f>100-(T$436-Tabell2[[#This Row],[Yrkesaktivandel-T]])*100/T$439</f>
        <v>39.791514514958848</v>
      </c>
      <c r="AE223" s="7">
        <f>100-(U$436-Tabell2[[#This Row],[Inntekt-T]])*100/U$439</f>
        <v>100</v>
      </c>
      <c r="AF223" s="7">
        <v>20</v>
      </c>
      <c r="AG223" s="7">
        <v>4.8456307129789558</v>
      </c>
      <c r="AH223" s="7">
        <v>10</v>
      </c>
      <c r="AI223" s="7">
        <v>20</v>
      </c>
      <c r="AJ223" s="7">
        <v>5</v>
      </c>
      <c r="AK223" s="7">
        <v>5</v>
      </c>
      <c r="AL223" s="7">
        <v>10</v>
      </c>
      <c r="AM223" s="7">
        <v>3.979151451495885</v>
      </c>
      <c r="AN223" s="7">
        <v>10</v>
      </c>
      <c r="AO22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88.82478216447484</v>
      </c>
    </row>
    <row r="224" spans="1:41" x14ac:dyDescent="0.3">
      <c r="A224" s="2" t="s">
        <v>221</v>
      </c>
      <c r="B224">
        <f>'Rådata-K'!N223</f>
        <v>1</v>
      </c>
      <c r="C224" s="7">
        <f>'Rådata-K'!M223</f>
        <v>168.5833333333</v>
      </c>
      <c r="D224" s="24">
        <f>'Rådata-K'!O223</f>
        <v>300.63559322033899</v>
      </c>
      <c r="E224" s="24">
        <f>'Rådata-K'!P223</f>
        <v>280.65664556962025</v>
      </c>
      <c r="F224" s="24">
        <f>'Rådata-K'!Q223</f>
        <v>0.26155761024182067</v>
      </c>
      <c r="G224" s="24">
        <f>'Rådata-K'!R223</f>
        <v>0.13079633544749825</v>
      </c>
      <c r="H224" s="24">
        <f>'Rådata-K'!S223</f>
        <v>0.11363636363636363</v>
      </c>
      <c r="I224" s="24">
        <f>'Rådata-K'!T223</f>
        <v>0.27223990618194005</v>
      </c>
      <c r="J224" s="24">
        <f>'Rådata-K'!U223</f>
        <v>0.85928217821782182</v>
      </c>
      <c r="K224" s="24">
        <f>'Rådata-K'!L223</f>
        <v>426600</v>
      </c>
      <c r="L224" s="24">
        <f>Tabell2[[#This Row],[NIBR11]]</f>
        <v>1</v>
      </c>
      <c r="M224" s="24">
        <f>IF(Tabell2[[#This Row],[ReisetidOslo]]&lt;=C$434,C$434,IF(Tabell2[[#This Row],[ReisetidOslo]]&gt;=C$435,C$435,Tabell2[[#This Row],[ReisetidOslo]]))</f>
        <v>168.5833333333</v>
      </c>
      <c r="N224" s="24">
        <f>IF(Tabell2[[#This Row],[Beftettland]]&lt;=D$434,D$434,IF(Tabell2[[#This Row],[Beftettland]]&gt;=D$435,D$435,Tabell2[[#This Row],[Beftettland]]))</f>
        <v>136.59179999736304</v>
      </c>
      <c r="O224" s="24">
        <f>IF(Tabell2[[#This Row],[Beftettotal]]&lt;=E$434,E$434,IF(Tabell2[[#This Row],[Beftettotal]]&gt;=E$435,E$435,Tabell2[[#This Row],[Beftettotal]]))</f>
        <v>131.96212083018065</v>
      </c>
      <c r="P224" s="24">
        <f>IF(Tabell2[[#This Row],[Befvekst10]]&lt;=F$434,F$434,IF(Tabell2[[#This Row],[Befvekst10]]&gt;=F$435,F$435,Tabell2[[#This Row],[Befvekst10]]))</f>
        <v>0.17599648151968622</v>
      </c>
      <c r="Q224" s="24">
        <f>IF(Tabell2[[#This Row],[Kvinneandel]]&lt;=G$434,G$434,IF(Tabell2[[#This Row],[Kvinneandel]]&gt;=G$435,G$435,Tabell2[[#This Row],[Kvinneandel]]))</f>
        <v>0.12758728250318055</v>
      </c>
      <c r="R224" s="24">
        <f>IF(Tabell2[[#This Row],[Eldreandel]]&lt;=H$434,H$434,IF(Tabell2[[#This Row],[Eldreandel]]&gt;=H$435,H$435,Tabell2[[#This Row],[Eldreandel]]))</f>
        <v>0.12767243783057225</v>
      </c>
      <c r="S224" s="24">
        <f>IF(Tabell2[[#This Row],[Sysselsettingsvekst10]]&lt;=I$434,I$434,IF(Tabell2[[#This Row],[Sysselsettingsvekst10]]&gt;=I$435,I$435,Tabell2[[#This Row],[Sysselsettingsvekst10]]))</f>
        <v>0.21384805931725109</v>
      </c>
      <c r="T224" s="24">
        <f>IF(Tabell2[[#This Row],[Yrkesaktivandel]]&lt;=J$434,J$434,IF(Tabell2[[#This Row],[Yrkesaktivandel]]&gt;=J$435,J$435,Tabell2[[#This Row],[Yrkesaktivandel]]))</f>
        <v>0.85928217821782182</v>
      </c>
      <c r="U224" s="24">
        <f>IF(Tabell2[[#This Row],[Inntekt]]&lt;=K$434,K$434,IF(Tabell2[[#This Row],[Inntekt]]&gt;=K$435,K$435,Tabell2[[#This Row],[Inntekt]]))</f>
        <v>426600</v>
      </c>
      <c r="V224" s="7">
        <f>IF(Tabell2[[#This Row],[NIBR11-T]]&lt;=L$437,100,IF(Tabell2[[#This Row],[NIBR11-T]]&gt;=L$436,0,100*(L$436-Tabell2[[#This Row],[NIBR11-T]])/L$439))</f>
        <v>100</v>
      </c>
      <c r="W224" s="7">
        <f>(M$436-Tabell2[[#This Row],[ReisetidOslo-T]])*100/M$439</f>
        <v>49.085191956144151</v>
      </c>
      <c r="X224" s="7">
        <f>100-(N$436-Tabell2[[#This Row],[Beftettland-T]])*100/N$439</f>
        <v>100</v>
      </c>
      <c r="Y224" s="7">
        <f>100-(O$436-Tabell2[[#This Row],[Beftettotal-T]])*100/O$439</f>
        <v>100</v>
      </c>
      <c r="Z224" s="7">
        <f>100-(P$436-Tabell2[[#This Row],[Befvekst10-T]])*100/P$439</f>
        <v>100</v>
      </c>
      <c r="AA224" s="7">
        <f>100-(Q$436-Tabell2[[#This Row],[Kvinneandel-T]])*100/Q$439</f>
        <v>100</v>
      </c>
      <c r="AB224" s="7">
        <f>(R$436-Tabell2[[#This Row],[Eldreandel-T]])*100/R$439</f>
        <v>100</v>
      </c>
      <c r="AC224" s="7">
        <f>100-(S$436-Tabell2[[#This Row],[Sysselsettingsvekst10-T]])*100/S$439</f>
        <v>100</v>
      </c>
      <c r="AD224" s="7">
        <f>100-(T$436-Tabell2[[#This Row],[Yrkesaktivandel-T]])*100/T$439</f>
        <v>42.598274295597328</v>
      </c>
      <c r="AE224" s="7">
        <f>100-(U$436-Tabell2[[#This Row],[Inntekt-T]])*100/U$439</f>
        <v>92.754768084866271</v>
      </c>
      <c r="AF224" s="7">
        <v>20</v>
      </c>
      <c r="AG224" s="7">
        <v>4.9085191956144154</v>
      </c>
      <c r="AH224" s="7">
        <v>10</v>
      </c>
      <c r="AI224" s="7">
        <v>20</v>
      </c>
      <c r="AJ224" s="7">
        <v>5</v>
      </c>
      <c r="AK224" s="7">
        <v>5</v>
      </c>
      <c r="AL224" s="7">
        <v>10</v>
      </c>
      <c r="AM224" s="7">
        <v>4.2598274295597331</v>
      </c>
      <c r="AN224" s="7">
        <v>9.2754768084866281</v>
      </c>
      <c r="AO22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88.443823433660782</v>
      </c>
    </row>
    <row r="225" spans="1:41" x14ac:dyDescent="0.3">
      <c r="A225" s="2" t="s">
        <v>222</v>
      </c>
      <c r="B225">
        <f>'Rådata-K'!N224</f>
        <v>1</v>
      </c>
      <c r="C225" s="7">
        <f>'Rådata-K'!M224</f>
        <v>205.1</v>
      </c>
      <c r="D225" s="24">
        <f>'Rådata-K'!O224</f>
        <v>6.0358198472388871</v>
      </c>
      <c r="E225" s="24">
        <f>'Rådata-K'!P224</f>
        <v>5.7664886627338054</v>
      </c>
      <c r="F225" s="24">
        <f>'Rådata-K'!Q224</f>
        <v>1.699854298202963E-3</v>
      </c>
      <c r="G225" s="24">
        <f>'Rådata-K'!R224</f>
        <v>0.11345454545454546</v>
      </c>
      <c r="H225" s="24">
        <f>'Rådata-K'!S224</f>
        <v>0.19345454545454546</v>
      </c>
      <c r="I225" s="24">
        <f>'Rådata-K'!T224</f>
        <v>-0.18604651162790697</v>
      </c>
      <c r="J225" s="24">
        <f>'Rådata-K'!U224</f>
        <v>0.82722050375607603</v>
      </c>
      <c r="K225" s="24">
        <f>'Rådata-K'!L224</f>
        <v>362600</v>
      </c>
      <c r="L225" s="24">
        <f>Tabell2[[#This Row],[NIBR11]]</f>
        <v>1</v>
      </c>
      <c r="M225" s="24">
        <f>IF(Tabell2[[#This Row],[ReisetidOslo]]&lt;=C$434,C$434,IF(Tabell2[[#This Row],[ReisetidOslo]]&gt;=C$435,C$435,Tabell2[[#This Row],[ReisetidOslo]]))</f>
        <v>205.1</v>
      </c>
      <c r="N225" s="24">
        <f>IF(Tabell2[[#This Row],[Beftettland]]&lt;=D$434,D$434,IF(Tabell2[[#This Row],[Beftettland]]&gt;=D$435,D$435,Tabell2[[#This Row],[Beftettland]]))</f>
        <v>6.0358198472388871</v>
      </c>
      <c r="O225" s="24">
        <f>IF(Tabell2[[#This Row],[Beftettotal]]&lt;=E$434,E$434,IF(Tabell2[[#This Row],[Beftettotal]]&gt;=E$435,E$435,Tabell2[[#This Row],[Beftettotal]]))</f>
        <v>5.7664886627338054</v>
      </c>
      <c r="P225" s="24">
        <f>IF(Tabell2[[#This Row],[Befvekst10]]&lt;=F$434,F$434,IF(Tabell2[[#This Row],[Befvekst10]]&gt;=F$435,F$435,Tabell2[[#This Row],[Befvekst10]]))</f>
        <v>1.699854298202963E-3</v>
      </c>
      <c r="Q225" s="24">
        <f>IF(Tabell2[[#This Row],[Kvinneandel]]&lt;=G$434,G$434,IF(Tabell2[[#This Row],[Kvinneandel]]&gt;=G$435,G$435,Tabell2[[#This Row],[Kvinneandel]]))</f>
        <v>0.11345454545454546</v>
      </c>
      <c r="R225" s="24">
        <f>IF(Tabell2[[#This Row],[Eldreandel]]&lt;=H$434,H$434,IF(Tabell2[[#This Row],[Eldreandel]]&gt;=H$435,H$435,Tabell2[[#This Row],[Eldreandel]]))</f>
        <v>0.19345454545454546</v>
      </c>
      <c r="S225" s="24">
        <f>IF(Tabell2[[#This Row],[Sysselsettingsvekst10]]&lt;=I$434,I$434,IF(Tabell2[[#This Row],[Sysselsettingsvekst10]]&gt;=I$435,I$435,Tabell2[[#This Row],[Sysselsettingsvekst10]]))</f>
        <v>-9.2570207570207563E-2</v>
      </c>
      <c r="T225" s="24">
        <f>IF(Tabell2[[#This Row],[Yrkesaktivandel]]&lt;=J$434,J$434,IF(Tabell2[[#This Row],[Yrkesaktivandel]]&gt;=J$435,J$435,Tabell2[[#This Row],[Yrkesaktivandel]]))</f>
        <v>0.82722050375607603</v>
      </c>
      <c r="U225" s="24">
        <f>IF(Tabell2[[#This Row],[Inntekt]]&lt;=K$434,K$434,IF(Tabell2[[#This Row],[Inntekt]]&gt;=K$435,K$435,Tabell2[[#This Row],[Inntekt]]))</f>
        <v>362600</v>
      </c>
      <c r="V225" s="7">
        <f>IF(Tabell2[[#This Row],[NIBR11-T]]&lt;=L$437,100,IF(Tabell2[[#This Row],[NIBR11-T]]&gt;=L$436,0,100*(L$436-Tabell2[[#This Row],[NIBR11-T]])/L$439))</f>
        <v>100</v>
      </c>
      <c r="W225" s="7">
        <f>(M$436-Tabell2[[#This Row],[ReisetidOslo-T]])*100/M$439</f>
        <v>33.063254113352379</v>
      </c>
      <c r="X225" s="7">
        <f>100-(N$436-Tabell2[[#This Row],[Beftettland-T]])*100/N$439</f>
        <v>3.4272526923513738</v>
      </c>
      <c r="Y225" s="7">
        <f>100-(O$436-Tabell2[[#This Row],[Beftettotal-T]])*100/O$439</f>
        <v>3.4049963460050208</v>
      </c>
      <c r="Z225" s="7">
        <f>100-(P$436-Tabell2[[#This Row],[Befvekst10-T]])*100/P$439</f>
        <v>29.451513852890912</v>
      </c>
      <c r="AA225" s="7">
        <f>100-(Q$436-Tabell2[[#This Row],[Kvinneandel-T]])*100/Q$439</f>
        <v>62.872546905720668</v>
      </c>
      <c r="AB225" s="7">
        <f>(R$436-Tabell2[[#This Row],[Eldreandel-T]])*100/R$439</f>
        <v>29.004342365997786</v>
      </c>
      <c r="AC225" s="7">
        <f>100-(S$436-Tabell2[[#This Row],[Sysselsettingsvekst10-T]])*100/S$439</f>
        <v>0</v>
      </c>
      <c r="AD225" s="7">
        <f>100-(T$436-Tabell2[[#This Row],[Yrkesaktivandel-T]])*100/T$439</f>
        <v>19.98537336085721</v>
      </c>
      <c r="AE225" s="7">
        <f>100-(U$436-Tabell2[[#This Row],[Inntekt-T]])*100/U$439</f>
        <v>20.528157092878914</v>
      </c>
      <c r="AF225" s="7">
        <v>20</v>
      </c>
      <c r="AG225" s="7">
        <v>3.3063254113352381</v>
      </c>
      <c r="AH225" s="7">
        <v>0.34049963460050209</v>
      </c>
      <c r="AI225" s="7">
        <v>5.8903027705781827</v>
      </c>
      <c r="AJ225" s="7">
        <v>3.1436273452860335</v>
      </c>
      <c r="AK225" s="7">
        <v>1.4502171182998893</v>
      </c>
      <c r="AL225" s="7">
        <v>0</v>
      </c>
      <c r="AM225" s="7">
        <v>1.998537336085721</v>
      </c>
      <c r="AN225" s="7">
        <v>2.0528157092878914</v>
      </c>
      <c r="AO22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38.182325325473457</v>
      </c>
    </row>
    <row r="226" spans="1:41" x14ac:dyDescent="0.3">
      <c r="A226" s="2" t="s">
        <v>223</v>
      </c>
      <c r="B226">
        <f>'Rådata-K'!N225</f>
        <v>5</v>
      </c>
      <c r="C226" s="7">
        <f>'Rådata-K'!M225</f>
        <v>229.6666666667</v>
      </c>
      <c r="D226" s="24">
        <f>'Rådata-K'!O225</f>
        <v>1.0007617346536735</v>
      </c>
      <c r="E226" s="24">
        <f>'Rådata-K'!P225</f>
        <v>0.92477972766329275</v>
      </c>
      <c r="F226" s="24">
        <f>'Rådata-K'!Q225</f>
        <v>7.6271186440677985E-2</v>
      </c>
      <c r="G226" s="24">
        <f>'Rådata-K'!R225</f>
        <v>0.10236220472440945</v>
      </c>
      <c r="H226" s="24">
        <f>'Rådata-K'!S225</f>
        <v>0.14960629921259844</v>
      </c>
      <c r="I226" s="24">
        <f>'Rådata-K'!T225</f>
        <v>-8.8495575221239076E-3</v>
      </c>
      <c r="J226" s="24">
        <f>'Rådata-K'!U225</f>
        <v>0.8632075471698113</v>
      </c>
      <c r="K226" s="24">
        <f>'Rådata-K'!L225</f>
        <v>401900</v>
      </c>
      <c r="L226" s="24">
        <f>Tabell2[[#This Row],[NIBR11]]</f>
        <v>5</v>
      </c>
      <c r="M226" s="24">
        <f>IF(Tabell2[[#This Row],[ReisetidOslo]]&lt;=C$434,C$434,IF(Tabell2[[#This Row],[ReisetidOslo]]&gt;=C$435,C$435,Tabell2[[#This Row],[ReisetidOslo]]))</f>
        <v>229.6666666667</v>
      </c>
      <c r="N226" s="24">
        <f>IF(Tabell2[[#This Row],[Beftettland]]&lt;=D$434,D$434,IF(Tabell2[[#This Row],[Beftettland]]&gt;=D$435,D$435,Tabell2[[#This Row],[Beftettland]]))</f>
        <v>1.4025423756281519</v>
      </c>
      <c r="O226" s="24">
        <f>IF(Tabell2[[#This Row],[Beftettotal]]&lt;=E$434,E$434,IF(Tabell2[[#This Row],[Beftettotal]]&gt;=E$435,E$435,Tabell2[[#This Row],[Beftettotal]]))</f>
        <v>1.3180632767674032</v>
      </c>
      <c r="P226" s="24">
        <f>IF(Tabell2[[#This Row],[Befvekst10]]&lt;=F$434,F$434,IF(Tabell2[[#This Row],[Befvekst10]]&gt;=F$435,F$435,Tabell2[[#This Row],[Befvekst10]]))</f>
        <v>7.6271186440677985E-2</v>
      </c>
      <c r="Q226" s="24">
        <f>IF(Tabell2[[#This Row],[Kvinneandel]]&lt;=G$434,G$434,IF(Tabell2[[#This Row],[Kvinneandel]]&gt;=G$435,G$435,Tabell2[[#This Row],[Kvinneandel]]))</f>
        <v>0.10236220472440945</v>
      </c>
      <c r="R226" s="24">
        <f>IF(Tabell2[[#This Row],[Eldreandel]]&lt;=H$434,H$434,IF(Tabell2[[#This Row],[Eldreandel]]&gt;=H$435,H$435,Tabell2[[#This Row],[Eldreandel]]))</f>
        <v>0.14960629921259844</v>
      </c>
      <c r="S226" s="24">
        <f>IF(Tabell2[[#This Row],[Sysselsettingsvekst10]]&lt;=I$434,I$434,IF(Tabell2[[#This Row],[Sysselsettingsvekst10]]&gt;=I$435,I$435,Tabell2[[#This Row],[Sysselsettingsvekst10]]))</f>
        <v>-8.8495575221239076E-3</v>
      </c>
      <c r="T226" s="24">
        <f>IF(Tabell2[[#This Row],[Yrkesaktivandel]]&lt;=J$434,J$434,IF(Tabell2[[#This Row],[Yrkesaktivandel]]&gt;=J$435,J$435,Tabell2[[#This Row],[Yrkesaktivandel]]))</f>
        <v>0.8632075471698113</v>
      </c>
      <c r="U226" s="24">
        <f>IF(Tabell2[[#This Row],[Inntekt]]&lt;=K$434,K$434,IF(Tabell2[[#This Row],[Inntekt]]&gt;=K$435,K$435,Tabell2[[#This Row],[Inntekt]]))</f>
        <v>401900</v>
      </c>
      <c r="V226" s="7">
        <f>IF(Tabell2[[#This Row],[NIBR11-T]]&lt;=L$437,100,IF(Tabell2[[#This Row],[NIBR11-T]]&gt;=L$436,0,100*(L$436-Tabell2[[#This Row],[NIBR11-T]])/L$439))</f>
        <v>60</v>
      </c>
      <c r="W226" s="7">
        <f>(M$436-Tabell2[[#This Row],[ReisetidOslo-T]])*100/M$439</f>
        <v>22.284460694691688</v>
      </c>
      <c r="X226" s="7">
        <f>100-(N$436-Tabell2[[#This Row],[Beftettland-T]])*100/N$439</f>
        <v>0</v>
      </c>
      <c r="Y226" s="7">
        <f>100-(O$436-Tabell2[[#This Row],[Beftettotal-T]])*100/O$439</f>
        <v>0</v>
      </c>
      <c r="Z226" s="7">
        <f>100-(P$436-Tabell2[[#This Row],[Befvekst10-T]])*100/P$439</f>
        <v>59.635084679764773</v>
      </c>
      <c r="AA226" s="7">
        <f>100-(Q$436-Tabell2[[#This Row],[Kvinneandel-T]])*100/Q$439</f>
        <v>33.732376905624136</v>
      </c>
      <c r="AB226" s="7">
        <f>(R$436-Tabell2[[#This Row],[Eldreandel-T]])*100/R$439</f>
        <v>76.327774078456329</v>
      </c>
      <c r="AC226" s="7">
        <f>100-(S$436-Tabell2[[#This Row],[Sysselsettingsvekst10-T]])*100/S$439</f>
        <v>27.322343050400647</v>
      </c>
      <c r="AD226" s="7">
        <f>100-(T$436-Tabell2[[#This Row],[Yrkesaktivandel-T]])*100/T$439</f>
        <v>45.366812768207389</v>
      </c>
      <c r="AE226" s="7">
        <f>100-(U$436-Tabell2[[#This Row],[Inntekt-T]])*100/U$439</f>
        <v>64.879810405146145</v>
      </c>
      <c r="AF226" s="7">
        <v>12</v>
      </c>
      <c r="AG226" s="7">
        <v>2.228446069469169</v>
      </c>
      <c r="AH226" s="7">
        <v>0</v>
      </c>
      <c r="AI226" s="7">
        <v>11.927016935952956</v>
      </c>
      <c r="AJ226" s="7">
        <v>1.686618845281207</v>
      </c>
      <c r="AK226" s="7">
        <v>3.8163887039228168</v>
      </c>
      <c r="AL226" s="7">
        <v>2.7322343050400648</v>
      </c>
      <c r="AM226" s="7">
        <v>4.5366812768207394</v>
      </c>
      <c r="AN226" s="7">
        <v>6.4879810405146152</v>
      </c>
      <c r="AO22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45.415367177001571</v>
      </c>
    </row>
    <row r="227" spans="1:41" x14ac:dyDescent="0.3">
      <c r="A227" s="2" t="s">
        <v>224</v>
      </c>
      <c r="B227">
        <f>'Rådata-K'!N226</f>
        <v>1</v>
      </c>
      <c r="C227" s="7">
        <f>'Rådata-K'!M226</f>
        <v>189.5</v>
      </c>
      <c r="D227" s="24">
        <f>'Rådata-K'!O226</f>
        <v>32.652140013952156</v>
      </c>
      <c r="E227" s="24">
        <f>'Rådata-K'!P226</f>
        <v>31.189244277202885</v>
      </c>
      <c r="F227" s="24">
        <f>'Rådata-K'!Q226</f>
        <v>0.10146733111849393</v>
      </c>
      <c r="G227" s="24">
        <f>'Rådata-K'!R226</f>
        <v>0.11750659796405681</v>
      </c>
      <c r="H227" s="24">
        <f>'Rådata-K'!S226</f>
        <v>0.15081060701269322</v>
      </c>
      <c r="I227" s="24">
        <f>'Rådata-K'!T226</f>
        <v>0.11735330836454438</v>
      </c>
      <c r="J227" s="24">
        <f>'Rådata-K'!U226</f>
        <v>0.88600223964165736</v>
      </c>
      <c r="K227" s="24">
        <f>'Rådata-K'!L226</f>
        <v>389400</v>
      </c>
      <c r="L227" s="24">
        <f>Tabell2[[#This Row],[NIBR11]]</f>
        <v>1</v>
      </c>
      <c r="M227" s="24">
        <f>IF(Tabell2[[#This Row],[ReisetidOslo]]&lt;=C$434,C$434,IF(Tabell2[[#This Row],[ReisetidOslo]]&gt;=C$435,C$435,Tabell2[[#This Row],[ReisetidOslo]]))</f>
        <v>189.5</v>
      </c>
      <c r="N227" s="24">
        <f>IF(Tabell2[[#This Row],[Beftettland]]&lt;=D$434,D$434,IF(Tabell2[[#This Row],[Beftettland]]&gt;=D$435,D$435,Tabell2[[#This Row],[Beftettland]]))</f>
        <v>32.652140013952156</v>
      </c>
      <c r="O227" s="24">
        <f>IF(Tabell2[[#This Row],[Beftettotal]]&lt;=E$434,E$434,IF(Tabell2[[#This Row],[Beftettotal]]&gt;=E$435,E$435,Tabell2[[#This Row],[Beftettotal]]))</f>
        <v>31.189244277202885</v>
      </c>
      <c r="P227" s="24">
        <f>IF(Tabell2[[#This Row],[Befvekst10]]&lt;=F$434,F$434,IF(Tabell2[[#This Row],[Befvekst10]]&gt;=F$435,F$435,Tabell2[[#This Row],[Befvekst10]]))</f>
        <v>0.10146733111849393</v>
      </c>
      <c r="Q227" s="24">
        <f>IF(Tabell2[[#This Row],[Kvinneandel]]&lt;=G$434,G$434,IF(Tabell2[[#This Row],[Kvinneandel]]&gt;=G$435,G$435,Tabell2[[#This Row],[Kvinneandel]]))</f>
        <v>0.11750659796405681</v>
      </c>
      <c r="R227" s="24">
        <f>IF(Tabell2[[#This Row],[Eldreandel]]&lt;=H$434,H$434,IF(Tabell2[[#This Row],[Eldreandel]]&gt;=H$435,H$435,Tabell2[[#This Row],[Eldreandel]]))</f>
        <v>0.15081060701269322</v>
      </c>
      <c r="S227" s="24">
        <f>IF(Tabell2[[#This Row],[Sysselsettingsvekst10]]&lt;=I$434,I$434,IF(Tabell2[[#This Row],[Sysselsettingsvekst10]]&gt;=I$435,I$435,Tabell2[[#This Row],[Sysselsettingsvekst10]]))</f>
        <v>0.11735330836454438</v>
      </c>
      <c r="T227" s="24">
        <f>IF(Tabell2[[#This Row],[Yrkesaktivandel]]&lt;=J$434,J$434,IF(Tabell2[[#This Row],[Yrkesaktivandel]]&gt;=J$435,J$435,Tabell2[[#This Row],[Yrkesaktivandel]]))</f>
        <v>0.88600223964165736</v>
      </c>
      <c r="U227" s="24">
        <f>IF(Tabell2[[#This Row],[Inntekt]]&lt;=K$434,K$434,IF(Tabell2[[#This Row],[Inntekt]]&gt;=K$435,K$435,Tabell2[[#This Row],[Inntekt]]))</f>
        <v>389400</v>
      </c>
      <c r="V227" s="7">
        <f>IF(Tabell2[[#This Row],[NIBR11-T]]&lt;=L$437,100,IF(Tabell2[[#This Row],[NIBR11-T]]&gt;=L$436,0,100*(L$436-Tabell2[[#This Row],[NIBR11-T]])/L$439))</f>
        <v>100</v>
      </c>
      <c r="W227" s="7">
        <f>(M$436-Tabell2[[#This Row],[ReisetidOslo-T]])*100/M$439</f>
        <v>39.907861060335222</v>
      </c>
      <c r="X227" s="7">
        <f>100-(N$436-Tabell2[[#This Row],[Beftettland-T]])*100/N$439</f>
        <v>23.115444368931804</v>
      </c>
      <c r="Y227" s="7">
        <f>100-(O$436-Tabell2[[#This Row],[Beftettotal-T]])*100/O$439</f>
        <v>22.864553933670351</v>
      </c>
      <c r="Z227" s="7">
        <f>100-(P$436-Tabell2[[#This Row],[Befvekst10-T]])*100/P$439</f>
        <v>69.83350269909154</v>
      </c>
      <c r="AA227" s="7">
        <f>100-(Q$436-Tabell2[[#This Row],[Kvinneandel-T]])*100/Q$439</f>
        <v>73.51750470580717</v>
      </c>
      <c r="AB227" s="7">
        <f>(R$436-Tabell2[[#This Row],[Eldreandel-T]])*100/R$439</f>
        <v>75.028019063760993</v>
      </c>
      <c r="AC227" s="7">
        <f>100-(S$436-Tabell2[[#This Row],[Sysselsettingsvekst10-T]])*100/S$439</f>
        <v>68.508812502308388</v>
      </c>
      <c r="AD227" s="7">
        <f>100-(T$436-Tabell2[[#This Row],[Yrkesaktivandel-T]])*100/T$439</f>
        <v>61.443768552869628</v>
      </c>
      <c r="AE227" s="7">
        <f>100-(U$436-Tabell2[[#This Row],[Inntekt-T]])*100/U$439</f>
        <v>50.773050445773613</v>
      </c>
      <c r="AF227" s="7">
        <v>20</v>
      </c>
      <c r="AG227" s="7">
        <v>3.9907861060335224</v>
      </c>
      <c r="AH227" s="7">
        <v>2.2864553933670351</v>
      </c>
      <c r="AI227" s="7">
        <v>13.966700539818309</v>
      </c>
      <c r="AJ227" s="7">
        <v>3.6758752352903588</v>
      </c>
      <c r="AK227" s="7">
        <v>3.7514009531880497</v>
      </c>
      <c r="AL227" s="7">
        <v>6.8508812502308389</v>
      </c>
      <c r="AM227" s="7">
        <v>6.1443768552869633</v>
      </c>
      <c r="AN227" s="7">
        <v>5.0773050445773613</v>
      </c>
      <c r="AO22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65.74378137779243</v>
      </c>
    </row>
    <row r="228" spans="1:41" x14ac:dyDescent="0.3">
      <c r="A228" s="2" t="s">
        <v>225</v>
      </c>
      <c r="B228">
        <f>'Rådata-K'!N227</f>
        <v>1</v>
      </c>
      <c r="C228" s="7">
        <f>'Rådata-K'!M227</f>
        <v>187.88333333330002</v>
      </c>
      <c r="D228" s="24">
        <f>'Rådata-K'!O227</f>
        <v>89.249400205643781</v>
      </c>
      <c r="E228" s="24">
        <f>'Rådata-K'!P227</f>
        <v>84.381075826312383</v>
      </c>
      <c r="F228" s="24">
        <f>'Rådata-K'!Q227</f>
        <v>0.31714719271623681</v>
      </c>
      <c r="G228" s="24">
        <f>'Rådata-K'!R227</f>
        <v>0.13236047107014848</v>
      </c>
      <c r="H228" s="24">
        <f>'Rådata-K'!S227</f>
        <v>0.1057347670250896</v>
      </c>
      <c r="I228" s="24">
        <f>'Rådata-K'!T227</f>
        <v>0.23218390804597711</v>
      </c>
      <c r="J228" s="24">
        <f>'Rådata-K'!U227</f>
        <v>0.86147668971670754</v>
      </c>
      <c r="K228" s="24">
        <f>'Rådata-K'!L227</f>
        <v>419500</v>
      </c>
      <c r="L228" s="24">
        <f>Tabell2[[#This Row],[NIBR11]]</f>
        <v>1</v>
      </c>
      <c r="M228" s="24">
        <f>IF(Tabell2[[#This Row],[ReisetidOslo]]&lt;=C$434,C$434,IF(Tabell2[[#This Row],[ReisetidOslo]]&gt;=C$435,C$435,Tabell2[[#This Row],[ReisetidOslo]]))</f>
        <v>187.88333333330002</v>
      </c>
      <c r="N228" s="24">
        <f>IF(Tabell2[[#This Row],[Beftettland]]&lt;=D$434,D$434,IF(Tabell2[[#This Row],[Beftettland]]&gt;=D$435,D$435,Tabell2[[#This Row],[Beftettland]]))</f>
        <v>89.249400205643781</v>
      </c>
      <c r="O228" s="24">
        <f>IF(Tabell2[[#This Row],[Beftettotal]]&lt;=E$434,E$434,IF(Tabell2[[#This Row],[Beftettotal]]&gt;=E$435,E$435,Tabell2[[#This Row],[Beftettotal]]))</f>
        <v>84.381075826312383</v>
      </c>
      <c r="P228" s="24">
        <f>IF(Tabell2[[#This Row],[Befvekst10]]&lt;=F$434,F$434,IF(Tabell2[[#This Row],[Befvekst10]]&gt;=F$435,F$435,Tabell2[[#This Row],[Befvekst10]]))</f>
        <v>0.17599648151968622</v>
      </c>
      <c r="Q228" s="24">
        <f>IF(Tabell2[[#This Row],[Kvinneandel]]&lt;=G$434,G$434,IF(Tabell2[[#This Row],[Kvinneandel]]&gt;=G$435,G$435,Tabell2[[#This Row],[Kvinneandel]]))</f>
        <v>0.12758728250318055</v>
      </c>
      <c r="R228" s="24">
        <f>IF(Tabell2[[#This Row],[Eldreandel]]&lt;=H$434,H$434,IF(Tabell2[[#This Row],[Eldreandel]]&gt;=H$435,H$435,Tabell2[[#This Row],[Eldreandel]]))</f>
        <v>0.12767243783057225</v>
      </c>
      <c r="S228" s="24">
        <f>IF(Tabell2[[#This Row],[Sysselsettingsvekst10]]&lt;=I$434,I$434,IF(Tabell2[[#This Row],[Sysselsettingsvekst10]]&gt;=I$435,I$435,Tabell2[[#This Row],[Sysselsettingsvekst10]]))</f>
        <v>0.21384805931725109</v>
      </c>
      <c r="T228" s="24">
        <f>IF(Tabell2[[#This Row],[Yrkesaktivandel]]&lt;=J$434,J$434,IF(Tabell2[[#This Row],[Yrkesaktivandel]]&gt;=J$435,J$435,Tabell2[[#This Row],[Yrkesaktivandel]]))</f>
        <v>0.86147668971670754</v>
      </c>
      <c r="U228" s="24">
        <f>IF(Tabell2[[#This Row],[Inntekt]]&lt;=K$434,K$434,IF(Tabell2[[#This Row],[Inntekt]]&gt;=K$435,K$435,Tabell2[[#This Row],[Inntekt]]))</f>
        <v>419500</v>
      </c>
      <c r="V228" s="7">
        <f>IF(Tabell2[[#This Row],[NIBR11-T]]&lt;=L$437,100,IF(Tabell2[[#This Row],[NIBR11-T]]&gt;=L$436,0,100*(L$436-Tabell2[[#This Row],[NIBR11-T]])/L$439))</f>
        <v>100</v>
      </c>
      <c r="W228" s="7">
        <f>(M$436-Tabell2[[#This Row],[ReisetidOslo-T]])*100/M$439</f>
        <v>40.617184643530756</v>
      </c>
      <c r="X228" s="7">
        <f>100-(N$436-Tabell2[[#This Row],[Beftettland-T]])*100/N$439</f>
        <v>64.980649628104885</v>
      </c>
      <c r="Y228" s="7">
        <f>100-(O$436-Tabell2[[#This Row],[Beftettotal-T]])*100/O$439</f>
        <v>63.579633168990512</v>
      </c>
      <c r="Z228" s="7">
        <f>100-(P$436-Tabell2[[#This Row],[Befvekst10-T]])*100/P$439</f>
        <v>100</v>
      </c>
      <c r="AA228" s="7">
        <f>100-(Q$436-Tabell2[[#This Row],[Kvinneandel-T]])*100/Q$439</f>
        <v>100</v>
      </c>
      <c r="AB228" s="7">
        <f>(R$436-Tabell2[[#This Row],[Eldreandel-T]])*100/R$439</f>
        <v>100</v>
      </c>
      <c r="AC228" s="7">
        <f>100-(S$436-Tabell2[[#This Row],[Sysselsettingsvekst10-T]])*100/S$439</f>
        <v>100</v>
      </c>
      <c r="AD228" s="7">
        <f>100-(T$436-Tabell2[[#This Row],[Yrkesaktivandel-T]])*100/T$439</f>
        <v>44.146049699020494</v>
      </c>
      <c r="AE228" s="7">
        <f>100-(U$436-Tabell2[[#This Row],[Inntekt-T]])*100/U$439</f>
        <v>84.742128427942674</v>
      </c>
      <c r="AF228" s="7">
        <v>20</v>
      </c>
      <c r="AG228" s="7">
        <v>4.0617184643530759</v>
      </c>
      <c r="AH228" s="7">
        <v>6.3579633168990517</v>
      </c>
      <c r="AI228" s="7">
        <v>20</v>
      </c>
      <c r="AJ228" s="7">
        <v>5</v>
      </c>
      <c r="AK228" s="7">
        <v>5</v>
      </c>
      <c r="AL228" s="7">
        <v>10</v>
      </c>
      <c r="AM228" s="7">
        <v>4.41460496990205</v>
      </c>
      <c r="AN228" s="7">
        <v>8.4742128427942678</v>
      </c>
      <c r="AO22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83.308499593948454</v>
      </c>
    </row>
    <row r="229" spans="1:41" x14ac:dyDescent="0.3">
      <c r="A229" s="2" t="s">
        <v>226</v>
      </c>
      <c r="B229">
        <f>'Rådata-K'!N228</f>
        <v>1</v>
      </c>
      <c r="C229" s="7">
        <f>'Rådata-K'!M228</f>
        <v>201.9333333333</v>
      </c>
      <c r="D229" s="24">
        <f>'Rådata-K'!O228</f>
        <v>75.294847920546246</v>
      </c>
      <c r="E229" s="24">
        <f>'Rådata-K'!P228</f>
        <v>72.634730538922156</v>
      </c>
      <c r="F229" s="24">
        <f>'Rådata-K'!Q228</f>
        <v>0.19009075300466027</v>
      </c>
      <c r="G229" s="24">
        <f>'Rådata-K'!R228</f>
        <v>0.12180544105523496</v>
      </c>
      <c r="H229" s="24">
        <f>'Rådata-K'!S228</f>
        <v>0.13128606760098929</v>
      </c>
      <c r="I229" s="24">
        <f>'Rådata-K'!T228</f>
        <v>0.23108894430590188</v>
      </c>
      <c r="J229" s="24">
        <f>'Rådata-K'!U228</f>
        <v>0.7973120232473665</v>
      </c>
      <c r="K229" s="24">
        <f>'Rådata-K'!L228</f>
        <v>416300</v>
      </c>
      <c r="L229" s="24">
        <f>Tabell2[[#This Row],[NIBR11]]</f>
        <v>1</v>
      </c>
      <c r="M229" s="24">
        <f>IF(Tabell2[[#This Row],[ReisetidOslo]]&lt;=C$434,C$434,IF(Tabell2[[#This Row],[ReisetidOslo]]&gt;=C$435,C$435,Tabell2[[#This Row],[ReisetidOslo]]))</f>
        <v>201.9333333333</v>
      </c>
      <c r="N229" s="24">
        <f>IF(Tabell2[[#This Row],[Beftettland]]&lt;=D$434,D$434,IF(Tabell2[[#This Row],[Beftettland]]&gt;=D$435,D$435,Tabell2[[#This Row],[Beftettland]]))</f>
        <v>75.294847920546246</v>
      </c>
      <c r="O229" s="24">
        <f>IF(Tabell2[[#This Row],[Beftettotal]]&lt;=E$434,E$434,IF(Tabell2[[#This Row],[Beftettotal]]&gt;=E$435,E$435,Tabell2[[#This Row],[Beftettotal]]))</f>
        <v>72.634730538922156</v>
      </c>
      <c r="P229" s="24">
        <f>IF(Tabell2[[#This Row],[Befvekst10]]&lt;=F$434,F$434,IF(Tabell2[[#This Row],[Befvekst10]]&gt;=F$435,F$435,Tabell2[[#This Row],[Befvekst10]]))</f>
        <v>0.17599648151968622</v>
      </c>
      <c r="Q229" s="24">
        <f>IF(Tabell2[[#This Row],[Kvinneandel]]&lt;=G$434,G$434,IF(Tabell2[[#This Row],[Kvinneandel]]&gt;=G$435,G$435,Tabell2[[#This Row],[Kvinneandel]]))</f>
        <v>0.12180544105523496</v>
      </c>
      <c r="R229" s="24">
        <f>IF(Tabell2[[#This Row],[Eldreandel]]&lt;=H$434,H$434,IF(Tabell2[[#This Row],[Eldreandel]]&gt;=H$435,H$435,Tabell2[[#This Row],[Eldreandel]]))</f>
        <v>0.13128606760098929</v>
      </c>
      <c r="S229" s="24">
        <f>IF(Tabell2[[#This Row],[Sysselsettingsvekst10]]&lt;=I$434,I$434,IF(Tabell2[[#This Row],[Sysselsettingsvekst10]]&gt;=I$435,I$435,Tabell2[[#This Row],[Sysselsettingsvekst10]]))</f>
        <v>0.21384805931725109</v>
      </c>
      <c r="T229" s="24">
        <f>IF(Tabell2[[#This Row],[Yrkesaktivandel]]&lt;=J$434,J$434,IF(Tabell2[[#This Row],[Yrkesaktivandel]]&gt;=J$435,J$435,Tabell2[[#This Row],[Yrkesaktivandel]]))</f>
        <v>0.79888426611272945</v>
      </c>
      <c r="U229" s="24">
        <f>IF(Tabell2[[#This Row],[Inntekt]]&lt;=K$434,K$434,IF(Tabell2[[#This Row],[Inntekt]]&gt;=K$435,K$435,Tabell2[[#This Row],[Inntekt]]))</f>
        <v>416300</v>
      </c>
      <c r="V229" s="7">
        <f>IF(Tabell2[[#This Row],[NIBR11-T]]&lt;=L$437,100,IF(Tabell2[[#This Row],[NIBR11-T]]&gt;=L$436,0,100*(L$436-Tabell2[[#This Row],[NIBR11-T]])/L$439))</f>
        <v>100</v>
      </c>
      <c r="W229" s="7">
        <f>(M$436-Tabell2[[#This Row],[ReisetidOslo-T]])*100/M$439</f>
        <v>34.452650822690444</v>
      </c>
      <c r="X229" s="7">
        <f>100-(N$436-Tabell2[[#This Row],[Beftettland-T]])*100/N$439</f>
        <v>54.658415058148933</v>
      </c>
      <c r="Y229" s="7">
        <f>100-(O$436-Tabell2[[#This Row],[Beftettotal-T]])*100/O$439</f>
        <v>54.588527482772996</v>
      </c>
      <c r="Z229" s="7">
        <f>100-(P$436-Tabell2[[#This Row],[Befvekst10-T]])*100/P$439</f>
        <v>100</v>
      </c>
      <c r="AA229" s="7">
        <f>100-(Q$436-Tabell2[[#This Row],[Kvinneandel-T]])*100/Q$439</f>
        <v>84.810794510756708</v>
      </c>
      <c r="AB229" s="7">
        <f>(R$436-Tabell2[[#This Row],[Eldreandel-T]])*100/R$439</f>
        <v>96.099972602533796</v>
      </c>
      <c r="AC229" s="7">
        <f>100-(S$436-Tabell2[[#This Row],[Sysselsettingsvekst10-T]])*100/S$439</f>
        <v>100</v>
      </c>
      <c r="AD229" s="7">
        <f>100-(T$436-Tabell2[[#This Row],[Yrkesaktivandel-T]])*100/T$439</f>
        <v>0</v>
      </c>
      <c r="AE229" s="7">
        <f>100-(U$436-Tabell2[[#This Row],[Inntekt-T]])*100/U$439</f>
        <v>81.130797878343301</v>
      </c>
      <c r="AF229" s="7">
        <v>20</v>
      </c>
      <c r="AG229" s="7">
        <v>3.4452650822690445</v>
      </c>
      <c r="AH229" s="7">
        <v>5.4588527482772999</v>
      </c>
      <c r="AI229" s="7">
        <v>20</v>
      </c>
      <c r="AJ229" s="7">
        <v>4.2405397255378352</v>
      </c>
      <c r="AK229" s="7">
        <v>4.8049986301266898</v>
      </c>
      <c r="AL229" s="7">
        <v>10</v>
      </c>
      <c r="AM229" s="7">
        <v>0</v>
      </c>
      <c r="AN229" s="7">
        <v>8.1130797878343301</v>
      </c>
      <c r="AO22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76.062735974045211</v>
      </c>
    </row>
    <row r="230" spans="1:41" x14ac:dyDescent="0.3">
      <c r="A230" s="2" t="s">
        <v>227</v>
      </c>
      <c r="B230">
        <f>'Rådata-K'!N229</f>
        <v>1</v>
      </c>
      <c r="C230" s="7">
        <f>'Rådata-K'!M229</f>
        <v>208.38333333330002</v>
      </c>
      <c r="D230" s="24">
        <f>'Rådata-K'!O229</f>
        <v>47.537453183520597</v>
      </c>
      <c r="E230" s="24">
        <f>'Rådata-K'!P229</f>
        <v>45.558147882268486</v>
      </c>
      <c r="F230" s="24">
        <f>'Rådata-K'!Q229</f>
        <v>9.5361380798274054E-2</v>
      </c>
      <c r="G230" s="24">
        <f>'Rådata-K'!R229</f>
        <v>0.11108922592081938</v>
      </c>
      <c r="H230" s="24">
        <f>'Rådata-K'!S229</f>
        <v>0.15461886941106953</v>
      </c>
      <c r="I230" s="24">
        <f>'Rådata-K'!T229</f>
        <v>1.5302727877578137E-2</v>
      </c>
      <c r="J230" s="24">
        <f>'Rådata-K'!U229</f>
        <v>0.85863146926015976</v>
      </c>
      <c r="K230" s="24">
        <f>'Rådata-K'!L229</f>
        <v>391500</v>
      </c>
      <c r="L230" s="24">
        <f>Tabell2[[#This Row],[NIBR11]]</f>
        <v>1</v>
      </c>
      <c r="M230" s="24">
        <f>IF(Tabell2[[#This Row],[ReisetidOslo]]&lt;=C$434,C$434,IF(Tabell2[[#This Row],[ReisetidOslo]]&gt;=C$435,C$435,Tabell2[[#This Row],[ReisetidOslo]]))</f>
        <v>208.38333333330002</v>
      </c>
      <c r="N230" s="24">
        <f>IF(Tabell2[[#This Row],[Beftettland]]&lt;=D$434,D$434,IF(Tabell2[[#This Row],[Beftettland]]&gt;=D$435,D$435,Tabell2[[#This Row],[Beftettland]]))</f>
        <v>47.537453183520597</v>
      </c>
      <c r="O230" s="24">
        <f>IF(Tabell2[[#This Row],[Beftettotal]]&lt;=E$434,E$434,IF(Tabell2[[#This Row],[Beftettotal]]&gt;=E$435,E$435,Tabell2[[#This Row],[Beftettotal]]))</f>
        <v>45.558147882268486</v>
      </c>
      <c r="P230" s="24">
        <f>IF(Tabell2[[#This Row],[Befvekst10]]&lt;=F$434,F$434,IF(Tabell2[[#This Row],[Befvekst10]]&gt;=F$435,F$435,Tabell2[[#This Row],[Befvekst10]]))</f>
        <v>9.5361380798274054E-2</v>
      </c>
      <c r="Q230" s="24">
        <f>IF(Tabell2[[#This Row],[Kvinneandel]]&lt;=G$434,G$434,IF(Tabell2[[#This Row],[Kvinneandel]]&gt;=G$435,G$435,Tabell2[[#This Row],[Kvinneandel]]))</f>
        <v>0.11108922592081938</v>
      </c>
      <c r="R230" s="24">
        <f>IF(Tabell2[[#This Row],[Eldreandel]]&lt;=H$434,H$434,IF(Tabell2[[#This Row],[Eldreandel]]&gt;=H$435,H$435,Tabell2[[#This Row],[Eldreandel]]))</f>
        <v>0.15461886941106953</v>
      </c>
      <c r="S230" s="24">
        <f>IF(Tabell2[[#This Row],[Sysselsettingsvekst10]]&lt;=I$434,I$434,IF(Tabell2[[#This Row],[Sysselsettingsvekst10]]&gt;=I$435,I$435,Tabell2[[#This Row],[Sysselsettingsvekst10]]))</f>
        <v>1.5302727877578137E-2</v>
      </c>
      <c r="T230" s="24">
        <f>IF(Tabell2[[#This Row],[Yrkesaktivandel]]&lt;=J$434,J$434,IF(Tabell2[[#This Row],[Yrkesaktivandel]]&gt;=J$435,J$435,Tabell2[[#This Row],[Yrkesaktivandel]]))</f>
        <v>0.85863146926015976</v>
      </c>
      <c r="U230" s="24">
        <f>IF(Tabell2[[#This Row],[Inntekt]]&lt;=K$434,K$434,IF(Tabell2[[#This Row],[Inntekt]]&gt;=K$435,K$435,Tabell2[[#This Row],[Inntekt]]))</f>
        <v>391500</v>
      </c>
      <c r="V230" s="7">
        <f>IF(Tabell2[[#This Row],[NIBR11-T]]&lt;=L$437,100,IF(Tabell2[[#This Row],[NIBR11-T]]&gt;=L$436,0,100*(L$436-Tabell2[[#This Row],[NIBR11-T]])/L$439))</f>
        <v>100</v>
      </c>
      <c r="W230" s="7">
        <f>(M$436-Tabell2[[#This Row],[ReisetidOslo-T]])*100/M$439</f>
        <v>31.622669104226375</v>
      </c>
      <c r="X230" s="7">
        <f>100-(N$436-Tabell2[[#This Row],[Beftettland-T]])*100/N$439</f>
        <v>34.126166249821296</v>
      </c>
      <c r="Y230" s="7">
        <f>100-(O$436-Tabell2[[#This Row],[Beftettotal-T]])*100/O$439</f>
        <v>33.863066896413343</v>
      </c>
      <c r="Z230" s="7">
        <f>100-(P$436-Tabell2[[#This Row],[Befvekst10-T]])*100/P$439</f>
        <v>67.362051825669965</v>
      </c>
      <c r="AA230" s="7">
        <f>100-(Q$436-Tabell2[[#This Row],[Kvinneandel-T]])*100/Q$439</f>
        <v>56.658726487270371</v>
      </c>
      <c r="AB230" s="7">
        <f>(R$436-Tabell2[[#This Row],[Eldreandel-T]])*100/R$439</f>
        <v>70.917933461744852</v>
      </c>
      <c r="AC230" s="7">
        <f>100-(S$436-Tabell2[[#This Row],[Sysselsettingsvekst10-T]])*100/S$439</f>
        <v>35.204472808863343</v>
      </c>
      <c r="AD230" s="7">
        <f>100-(T$436-Tabell2[[#This Row],[Yrkesaktivandel-T]])*100/T$439</f>
        <v>42.139333287556191</v>
      </c>
      <c r="AE230" s="7">
        <f>100-(U$436-Tabell2[[#This Row],[Inntekt-T]])*100/U$439</f>
        <v>53.142986118948201</v>
      </c>
      <c r="AF230" s="7">
        <v>20</v>
      </c>
      <c r="AG230" s="7">
        <v>3.1622669104226375</v>
      </c>
      <c r="AH230" s="7">
        <v>3.3863066896413345</v>
      </c>
      <c r="AI230" s="7">
        <v>13.472410365133994</v>
      </c>
      <c r="AJ230" s="7">
        <v>2.8329363243635188</v>
      </c>
      <c r="AK230" s="7">
        <v>3.5458966730872428</v>
      </c>
      <c r="AL230" s="7">
        <v>3.5204472808863345</v>
      </c>
      <c r="AM230" s="7">
        <v>4.2139333287556191</v>
      </c>
      <c r="AN230" s="7">
        <v>5.3142986118948201</v>
      </c>
      <c r="AO23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59.448496184185494</v>
      </c>
    </row>
    <row r="231" spans="1:41" x14ac:dyDescent="0.3">
      <c r="A231" s="2" t="s">
        <v>228</v>
      </c>
      <c r="B231">
        <f>'Rådata-K'!N230</f>
        <v>1</v>
      </c>
      <c r="C231" s="7">
        <f>'Rådata-K'!M230</f>
        <v>188.7</v>
      </c>
      <c r="D231" s="24">
        <f>'Rådata-K'!O230</f>
        <v>34.201875876577837</v>
      </c>
      <c r="E231" s="24">
        <f>'Rådata-K'!P230</f>
        <v>32.857533842817745</v>
      </c>
      <c r="F231" s="24">
        <f>'Rådata-K'!Q230</f>
        <v>0.1747835905156192</v>
      </c>
      <c r="G231" s="24">
        <f>'Rådata-K'!R230</f>
        <v>0.12109950663163965</v>
      </c>
      <c r="H231" s="24">
        <f>'Rådata-K'!S230</f>
        <v>0.14134683154994554</v>
      </c>
      <c r="I231" s="24">
        <f>'Rådata-K'!T230</f>
        <v>0.15577190542420039</v>
      </c>
      <c r="J231" s="24">
        <f>'Rådata-K'!U230</f>
        <v>0.85634349663126641</v>
      </c>
      <c r="K231" s="24">
        <f>'Rådata-K'!L230</f>
        <v>433300</v>
      </c>
      <c r="L231" s="24">
        <f>Tabell2[[#This Row],[NIBR11]]</f>
        <v>1</v>
      </c>
      <c r="M231" s="24">
        <f>IF(Tabell2[[#This Row],[ReisetidOslo]]&lt;=C$434,C$434,IF(Tabell2[[#This Row],[ReisetidOslo]]&gt;=C$435,C$435,Tabell2[[#This Row],[ReisetidOslo]]))</f>
        <v>188.7</v>
      </c>
      <c r="N231" s="24">
        <f>IF(Tabell2[[#This Row],[Beftettland]]&lt;=D$434,D$434,IF(Tabell2[[#This Row],[Beftettland]]&gt;=D$435,D$435,Tabell2[[#This Row],[Beftettland]]))</f>
        <v>34.201875876577837</v>
      </c>
      <c r="O231" s="24">
        <f>IF(Tabell2[[#This Row],[Beftettotal]]&lt;=E$434,E$434,IF(Tabell2[[#This Row],[Beftettotal]]&gt;=E$435,E$435,Tabell2[[#This Row],[Beftettotal]]))</f>
        <v>32.857533842817745</v>
      </c>
      <c r="P231" s="24">
        <f>IF(Tabell2[[#This Row],[Befvekst10]]&lt;=F$434,F$434,IF(Tabell2[[#This Row],[Befvekst10]]&gt;=F$435,F$435,Tabell2[[#This Row],[Befvekst10]]))</f>
        <v>0.1747835905156192</v>
      </c>
      <c r="Q231" s="24">
        <f>IF(Tabell2[[#This Row],[Kvinneandel]]&lt;=G$434,G$434,IF(Tabell2[[#This Row],[Kvinneandel]]&gt;=G$435,G$435,Tabell2[[#This Row],[Kvinneandel]]))</f>
        <v>0.12109950663163965</v>
      </c>
      <c r="R231" s="24">
        <f>IF(Tabell2[[#This Row],[Eldreandel]]&lt;=H$434,H$434,IF(Tabell2[[#This Row],[Eldreandel]]&gt;=H$435,H$435,Tabell2[[#This Row],[Eldreandel]]))</f>
        <v>0.14134683154994554</v>
      </c>
      <c r="S231" s="24">
        <f>IF(Tabell2[[#This Row],[Sysselsettingsvekst10]]&lt;=I$434,I$434,IF(Tabell2[[#This Row],[Sysselsettingsvekst10]]&gt;=I$435,I$435,Tabell2[[#This Row],[Sysselsettingsvekst10]]))</f>
        <v>0.15577190542420039</v>
      </c>
      <c r="T231" s="24">
        <f>IF(Tabell2[[#This Row],[Yrkesaktivandel]]&lt;=J$434,J$434,IF(Tabell2[[#This Row],[Yrkesaktivandel]]&gt;=J$435,J$435,Tabell2[[#This Row],[Yrkesaktivandel]]))</f>
        <v>0.85634349663126641</v>
      </c>
      <c r="U231" s="24">
        <f>IF(Tabell2[[#This Row],[Inntekt]]&lt;=K$434,K$434,IF(Tabell2[[#This Row],[Inntekt]]&gt;=K$435,K$435,Tabell2[[#This Row],[Inntekt]]))</f>
        <v>433020</v>
      </c>
      <c r="V231" s="7">
        <f>IF(Tabell2[[#This Row],[NIBR11-T]]&lt;=L$437,100,IF(Tabell2[[#This Row],[NIBR11-T]]&gt;=L$436,0,100*(L$436-Tabell2[[#This Row],[NIBR11-T]])/L$439))</f>
        <v>100</v>
      </c>
      <c r="W231" s="7">
        <f>(M$436-Tabell2[[#This Row],[ReisetidOslo-T]])*100/M$439</f>
        <v>40.258866544795879</v>
      </c>
      <c r="X231" s="7">
        <f>100-(N$436-Tabell2[[#This Row],[Beftettland-T]])*100/N$439</f>
        <v>24.261789788596644</v>
      </c>
      <c r="Y231" s="7">
        <f>100-(O$436-Tabell2[[#This Row],[Beftettotal-T]])*100/O$439</f>
        <v>24.1415271055521</v>
      </c>
      <c r="Z231" s="7">
        <f>100-(P$436-Tabell2[[#This Row],[Befvekst10-T]])*100/P$439</f>
        <v>99.509068961560331</v>
      </c>
      <c r="AA231" s="7">
        <f>100-(Q$436-Tabell2[[#This Row],[Kvinneandel-T]])*100/Q$439</f>
        <v>82.956267174015309</v>
      </c>
      <c r="AB231" s="7">
        <f>(R$436-Tabell2[[#This Row],[Eldreandel-T]])*100/R$439</f>
        <v>85.241844478400751</v>
      </c>
      <c r="AC231" s="7">
        <f>100-(S$436-Tabell2[[#This Row],[Sysselsettingsvekst10-T]])*100/S$439</f>
        <v>81.046771629192421</v>
      </c>
      <c r="AD231" s="7">
        <f>100-(T$436-Tabell2[[#This Row],[Yrkesaktivandel-T]])*100/T$439</f>
        <v>40.525640326501012</v>
      </c>
      <c r="AE231" s="7">
        <f>100-(U$436-Tabell2[[#This Row],[Inntekt-T]])*100/U$439</f>
        <v>100</v>
      </c>
      <c r="AF231" s="7">
        <v>20</v>
      </c>
      <c r="AG231" s="7">
        <v>4.0258866544795877</v>
      </c>
      <c r="AH231" s="7">
        <v>2.4141527105552103</v>
      </c>
      <c r="AI231" s="7">
        <v>19.901813792312069</v>
      </c>
      <c r="AJ231" s="7">
        <v>4.1478133587007653</v>
      </c>
      <c r="AK231" s="7">
        <v>4.2620922239200381</v>
      </c>
      <c r="AL231" s="7">
        <v>8.1046771629192431</v>
      </c>
      <c r="AM231" s="7">
        <v>4.0525640326501016</v>
      </c>
      <c r="AN231" s="7">
        <v>10</v>
      </c>
      <c r="AO23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76.908999935537011</v>
      </c>
    </row>
    <row r="232" spans="1:41" x14ac:dyDescent="0.3">
      <c r="A232" s="2" t="s">
        <v>229</v>
      </c>
      <c r="B232">
        <f>'Rådata-K'!N231</f>
        <v>1</v>
      </c>
      <c r="C232" s="7">
        <f>'Rådata-K'!M231</f>
        <v>221.4333333333</v>
      </c>
      <c r="D232" s="24">
        <f>'Rådata-K'!O231</f>
        <v>50.299190425906367</v>
      </c>
      <c r="E232" s="24">
        <f>'Rådata-K'!P231</f>
        <v>49.6611642050391</v>
      </c>
      <c r="F232" s="24">
        <f>'Rådata-K'!Q231</f>
        <v>0.15010060362173028</v>
      </c>
      <c r="G232" s="24">
        <f>'Rådata-K'!R231</f>
        <v>0.11091672498250525</v>
      </c>
      <c r="H232" s="24">
        <f>'Rådata-K'!S231</f>
        <v>0.17109867039888033</v>
      </c>
      <c r="I232" s="24">
        <f>'Rådata-K'!T231</f>
        <v>9.5041322314049603E-2</v>
      </c>
      <c r="J232" s="24">
        <f>'Rådata-K'!U231</f>
        <v>0.8672172808132147</v>
      </c>
      <c r="K232" s="24">
        <f>'Rådata-K'!L231</f>
        <v>443900</v>
      </c>
      <c r="L232" s="24">
        <f>Tabell2[[#This Row],[NIBR11]]</f>
        <v>1</v>
      </c>
      <c r="M232" s="24">
        <f>IF(Tabell2[[#This Row],[ReisetidOslo]]&lt;=C$434,C$434,IF(Tabell2[[#This Row],[ReisetidOslo]]&gt;=C$435,C$435,Tabell2[[#This Row],[ReisetidOslo]]))</f>
        <v>221.4333333333</v>
      </c>
      <c r="N232" s="24">
        <f>IF(Tabell2[[#This Row],[Beftettland]]&lt;=D$434,D$434,IF(Tabell2[[#This Row],[Beftettland]]&gt;=D$435,D$435,Tabell2[[#This Row],[Beftettland]]))</f>
        <v>50.299190425906367</v>
      </c>
      <c r="O232" s="24">
        <f>IF(Tabell2[[#This Row],[Beftettotal]]&lt;=E$434,E$434,IF(Tabell2[[#This Row],[Beftettotal]]&gt;=E$435,E$435,Tabell2[[#This Row],[Beftettotal]]))</f>
        <v>49.6611642050391</v>
      </c>
      <c r="P232" s="24">
        <f>IF(Tabell2[[#This Row],[Befvekst10]]&lt;=F$434,F$434,IF(Tabell2[[#This Row],[Befvekst10]]&gt;=F$435,F$435,Tabell2[[#This Row],[Befvekst10]]))</f>
        <v>0.15010060362173028</v>
      </c>
      <c r="Q232" s="24">
        <f>IF(Tabell2[[#This Row],[Kvinneandel]]&lt;=G$434,G$434,IF(Tabell2[[#This Row],[Kvinneandel]]&gt;=G$435,G$435,Tabell2[[#This Row],[Kvinneandel]]))</f>
        <v>0.11091672498250525</v>
      </c>
      <c r="R232" s="24">
        <f>IF(Tabell2[[#This Row],[Eldreandel]]&lt;=H$434,H$434,IF(Tabell2[[#This Row],[Eldreandel]]&gt;=H$435,H$435,Tabell2[[#This Row],[Eldreandel]]))</f>
        <v>0.17109867039888033</v>
      </c>
      <c r="S232" s="24">
        <f>IF(Tabell2[[#This Row],[Sysselsettingsvekst10]]&lt;=I$434,I$434,IF(Tabell2[[#This Row],[Sysselsettingsvekst10]]&gt;=I$435,I$435,Tabell2[[#This Row],[Sysselsettingsvekst10]]))</f>
        <v>9.5041322314049603E-2</v>
      </c>
      <c r="T232" s="24">
        <f>IF(Tabell2[[#This Row],[Yrkesaktivandel]]&lt;=J$434,J$434,IF(Tabell2[[#This Row],[Yrkesaktivandel]]&gt;=J$435,J$435,Tabell2[[#This Row],[Yrkesaktivandel]]))</f>
        <v>0.8672172808132147</v>
      </c>
      <c r="U232" s="24">
        <f>IF(Tabell2[[#This Row],[Inntekt]]&lt;=K$434,K$434,IF(Tabell2[[#This Row],[Inntekt]]&gt;=K$435,K$435,Tabell2[[#This Row],[Inntekt]]))</f>
        <v>433020</v>
      </c>
      <c r="V232" s="7">
        <f>IF(Tabell2[[#This Row],[NIBR11-T]]&lt;=L$437,100,IF(Tabell2[[#This Row],[NIBR11-T]]&gt;=L$436,0,100*(L$436-Tabell2[[#This Row],[NIBR11-T]])/L$439))</f>
        <v>100</v>
      </c>
      <c r="W232" s="7">
        <f>(M$436-Tabell2[[#This Row],[ReisetidOslo-T]])*100/M$439</f>
        <v>25.896892138961885</v>
      </c>
      <c r="X232" s="7">
        <f>100-(N$436-Tabell2[[#This Row],[Beftettland-T]])*100/N$439</f>
        <v>36.169033627725852</v>
      </c>
      <c r="Y232" s="7">
        <f>100-(O$436-Tabell2[[#This Row],[Beftettotal-T]])*100/O$439</f>
        <v>37.003673824587729</v>
      </c>
      <c r="Z232" s="7">
        <f>100-(P$436-Tabell2[[#This Row],[Befvekst10-T]])*100/P$439</f>
        <v>89.518357226559147</v>
      </c>
      <c r="AA232" s="7">
        <f>100-(Q$436-Tabell2[[#This Row],[Kvinneandel-T]])*100/Q$439</f>
        <v>56.205557332991404</v>
      </c>
      <c r="AB232" s="7">
        <f>(R$436-Tabell2[[#This Row],[Eldreandel-T]])*100/R$439</f>
        <v>53.132028584767006</v>
      </c>
      <c r="AC232" s="7">
        <f>100-(S$436-Tabell2[[#This Row],[Sysselsettingsvekst10-T]])*100/S$439</f>
        <v>61.227266830395315</v>
      </c>
      <c r="AD232" s="7">
        <f>100-(T$436-Tabell2[[#This Row],[Yrkesaktivandel-T]])*100/T$439</f>
        <v>48.194853136503184</v>
      </c>
      <c r="AE232" s="7">
        <f>100-(U$436-Tabell2[[#This Row],[Inntekt-T]])*100/U$439</f>
        <v>100</v>
      </c>
      <c r="AF232" s="7">
        <v>20</v>
      </c>
      <c r="AG232" s="7">
        <v>2.5896892138961887</v>
      </c>
      <c r="AH232" s="7">
        <v>3.7003673824587731</v>
      </c>
      <c r="AI232" s="7">
        <v>17.903671445311829</v>
      </c>
      <c r="AJ232" s="7">
        <v>2.8102778666495705</v>
      </c>
      <c r="AK232" s="7">
        <v>2.6566014292383504</v>
      </c>
      <c r="AL232" s="7">
        <v>6.1227266830395317</v>
      </c>
      <c r="AM232" s="7">
        <v>4.8194853136503184</v>
      </c>
      <c r="AN232" s="7">
        <v>10</v>
      </c>
      <c r="AO23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70.602819334244558</v>
      </c>
    </row>
    <row r="233" spans="1:41" x14ac:dyDescent="0.3">
      <c r="A233" s="2" t="s">
        <v>230</v>
      </c>
      <c r="B233">
        <f>'Rådata-K'!N232</f>
        <v>11</v>
      </c>
      <c r="C233" s="7">
        <f>'Rådata-K'!M232</f>
        <v>257.116666667</v>
      </c>
      <c r="D233" s="24">
        <f>'Rådata-K'!O232</f>
        <v>64.357541899441344</v>
      </c>
      <c r="E233" s="24">
        <f>'Rådata-K'!P232</f>
        <v>62.068965517241381</v>
      </c>
      <c r="F233" s="24">
        <f>'Rådata-K'!Q232</f>
        <v>-9.7178683385579889E-2</v>
      </c>
      <c r="G233" s="24">
        <f>'Rådata-K'!R232</f>
        <v>8.5069444444444448E-2</v>
      </c>
      <c r="H233" s="24">
        <f>'Rådata-K'!S232</f>
        <v>0.2013888888888889</v>
      </c>
      <c r="I233" s="24">
        <f>'Rådata-K'!T232</f>
        <v>-0.13513513513513509</v>
      </c>
      <c r="J233" s="24">
        <f>'Rådata-K'!U232</f>
        <v>0.85618729096989965</v>
      </c>
      <c r="K233" s="24">
        <f>'Rådata-K'!L232</f>
        <v>405300</v>
      </c>
      <c r="L233" s="24">
        <f>Tabell2[[#This Row],[NIBR11]]</f>
        <v>11</v>
      </c>
      <c r="M233" s="24">
        <f>IF(Tabell2[[#This Row],[ReisetidOslo]]&lt;=C$434,C$434,IF(Tabell2[[#This Row],[ReisetidOslo]]&gt;=C$435,C$435,Tabell2[[#This Row],[ReisetidOslo]]))</f>
        <v>257.116666667</v>
      </c>
      <c r="N233" s="24">
        <f>IF(Tabell2[[#This Row],[Beftettland]]&lt;=D$434,D$434,IF(Tabell2[[#This Row],[Beftettland]]&gt;=D$435,D$435,Tabell2[[#This Row],[Beftettland]]))</f>
        <v>64.357541899441344</v>
      </c>
      <c r="O233" s="24">
        <f>IF(Tabell2[[#This Row],[Beftettotal]]&lt;=E$434,E$434,IF(Tabell2[[#This Row],[Beftettotal]]&gt;=E$435,E$435,Tabell2[[#This Row],[Beftettotal]]))</f>
        <v>62.068965517241381</v>
      </c>
      <c r="P233" s="24">
        <f>IF(Tabell2[[#This Row],[Befvekst10]]&lt;=F$434,F$434,IF(Tabell2[[#This Row],[Befvekst10]]&gt;=F$435,F$435,Tabell2[[#This Row],[Befvekst10]]))</f>
        <v>-7.1062862685144085E-2</v>
      </c>
      <c r="Q233" s="24">
        <f>IF(Tabell2[[#This Row],[Kvinneandel]]&lt;=G$434,G$434,IF(Tabell2[[#This Row],[Kvinneandel]]&gt;=G$435,G$435,Tabell2[[#This Row],[Kvinneandel]]))</f>
        <v>8.9521819157910881E-2</v>
      </c>
      <c r="R233" s="24">
        <f>IF(Tabell2[[#This Row],[Eldreandel]]&lt;=H$434,H$434,IF(Tabell2[[#This Row],[Eldreandel]]&gt;=H$435,H$435,Tabell2[[#This Row],[Eldreandel]]))</f>
        <v>0.2013888888888889</v>
      </c>
      <c r="S233" s="24">
        <f>IF(Tabell2[[#This Row],[Sysselsettingsvekst10]]&lt;=I$434,I$434,IF(Tabell2[[#This Row],[Sysselsettingsvekst10]]&gt;=I$435,I$435,Tabell2[[#This Row],[Sysselsettingsvekst10]]))</f>
        <v>-9.2570207570207563E-2</v>
      </c>
      <c r="T233" s="24">
        <f>IF(Tabell2[[#This Row],[Yrkesaktivandel]]&lt;=J$434,J$434,IF(Tabell2[[#This Row],[Yrkesaktivandel]]&gt;=J$435,J$435,Tabell2[[#This Row],[Yrkesaktivandel]]))</f>
        <v>0.85618729096989965</v>
      </c>
      <c r="U233" s="24">
        <f>IF(Tabell2[[#This Row],[Inntekt]]&lt;=K$434,K$434,IF(Tabell2[[#This Row],[Inntekt]]&gt;=K$435,K$435,Tabell2[[#This Row],[Inntekt]]))</f>
        <v>405300</v>
      </c>
      <c r="V233" s="7">
        <f>IF(Tabell2[[#This Row],[NIBR11-T]]&lt;=L$437,100,IF(Tabell2[[#This Row],[NIBR11-T]]&gt;=L$436,0,100*(L$436-Tabell2[[#This Row],[NIBR11-T]])/L$439))</f>
        <v>0</v>
      </c>
      <c r="W233" s="7">
        <f>(M$436-Tabell2[[#This Row],[ReisetidOslo-T]])*100/M$439</f>
        <v>10.240585009003707</v>
      </c>
      <c r="X233" s="7">
        <f>100-(N$436-Tabell2[[#This Row],[Beftettland-T]])*100/N$439</f>
        <v>46.568048845984407</v>
      </c>
      <c r="Y233" s="7">
        <f>100-(O$436-Tabell2[[#This Row],[Beftettotal-T]])*100/O$439</f>
        <v>46.501083461554494</v>
      </c>
      <c r="Z233" s="7">
        <f>100-(P$436-Tabell2[[#This Row],[Befvekst10-T]])*100/P$439</f>
        <v>0</v>
      </c>
      <c r="AA233" s="7">
        <f>100-(Q$436-Tabell2[[#This Row],[Kvinneandel-T]])*100/Q$439</f>
        <v>0</v>
      </c>
      <c r="AB233" s="7">
        <f>(R$436-Tabell2[[#This Row],[Eldreandel-T]])*100/R$439</f>
        <v>20.441163861058048</v>
      </c>
      <c r="AC233" s="7">
        <f>100-(S$436-Tabell2[[#This Row],[Sysselsettingsvekst10-T]])*100/S$439</f>
        <v>0</v>
      </c>
      <c r="AD233" s="7">
        <f>100-(T$436-Tabell2[[#This Row],[Yrkesaktivandel-T]])*100/T$439</f>
        <v>40.415469438509902</v>
      </c>
      <c r="AE233" s="7">
        <f>100-(U$436-Tabell2[[#This Row],[Inntekt-T]])*100/U$439</f>
        <v>68.716849114095481</v>
      </c>
      <c r="AF233" s="7">
        <v>0</v>
      </c>
      <c r="AG233" s="7">
        <v>1.0240585009003709</v>
      </c>
      <c r="AH233" s="7">
        <v>4.6501083461554495</v>
      </c>
      <c r="AI233" s="7">
        <v>0</v>
      </c>
      <c r="AJ233" s="7">
        <v>0</v>
      </c>
      <c r="AK233" s="7">
        <v>1.0220581930529025</v>
      </c>
      <c r="AL233" s="7">
        <v>0</v>
      </c>
      <c r="AM233" s="7">
        <v>4.0415469438509906</v>
      </c>
      <c r="AN233" s="7">
        <v>6.8716849114095488</v>
      </c>
      <c r="AO23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17.609456895369263</v>
      </c>
    </row>
    <row r="234" spans="1:41" x14ac:dyDescent="0.3">
      <c r="A234" s="2" t="s">
        <v>231</v>
      </c>
      <c r="B234">
        <f>'Rådata-K'!N233</f>
        <v>5</v>
      </c>
      <c r="C234" s="7">
        <f>'Rådata-K'!M233</f>
        <v>228.38333333330002</v>
      </c>
      <c r="D234" s="24">
        <f>'Rådata-K'!O233</f>
        <v>3.3297445434080455</v>
      </c>
      <c r="E234" s="24">
        <f>'Rådata-K'!P233</f>
        <v>3.0589673961911266</v>
      </c>
      <c r="F234" s="24">
        <f>'Rådata-K'!Q233</f>
        <v>4.7253396337860742E-3</v>
      </c>
      <c r="G234" s="24">
        <f>'Rådata-K'!R233</f>
        <v>9.5825984714873608E-2</v>
      </c>
      <c r="H234" s="24">
        <f>'Rådata-K'!S233</f>
        <v>0.20928865373309818</v>
      </c>
      <c r="I234" s="24">
        <f>'Rådata-K'!T233</f>
        <v>9.2391304347826164E-2</v>
      </c>
      <c r="J234" s="24">
        <f>'Rådata-K'!U233</f>
        <v>0.9732142857142857</v>
      </c>
      <c r="K234" s="24">
        <f>'Rådata-K'!L233</f>
        <v>402300</v>
      </c>
      <c r="L234" s="24">
        <f>Tabell2[[#This Row],[NIBR11]]</f>
        <v>5</v>
      </c>
      <c r="M234" s="24">
        <f>IF(Tabell2[[#This Row],[ReisetidOslo]]&lt;=C$434,C$434,IF(Tabell2[[#This Row],[ReisetidOslo]]&gt;=C$435,C$435,Tabell2[[#This Row],[ReisetidOslo]]))</f>
        <v>228.38333333330002</v>
      </c>
      <c r="N234" s="24">
        <f>IF(Tabell2[[#This Row],[Beftettland]]&lt;=D$434,D$434,IF(Tabell2[[#This Row],[Beftettland]]&gt;=D$435,D$435,Tabell2[[#This Row],[Beftettland]]))</f>
        <v>3.3297445434080455</v>
      </c>
      <c r="O234" s="24">
        <f>IF(Tabell2[[#This Row],[Beftettotal]]&lt;=E$434,E$434,IF(Tabell2[[#This Row],[Beftettotal]]&gt;=E$435,E$435,Tabell2[[#This Row],[Beftettotal]]))</f>
        <v>3.0589673961911266</v>
      </c>
      <c r="P234" s="24">
        <f>IF(Tabell2[[#This Row],[Befvekst10]]&lt;=F$434,F$434,IF(Tabell2[[#This Row],[Befvekst10]]&gt;=F$435,F$435,Tabell2[[#This Row],[Befvekst10]]))</f>
        <v>4.7253396337860742E-3</v>
      </c>
      <c r="Q234" s="24">
        <f>IF(Tabell2[[#This Row],[Kvinneandel]]&lt;=G$434,G$434,IF(Tabell2[[#This Row],[Kvinneandel]]&gt;=G$435,G$435,Tabell2[[#This Row],[Kvinneandel]]))</f>
        <v>9.5825984714873608E-2</v>
      </c>
      <c r="R234" s="24">
        <f>IF(Tabell2[[#This Row],[Eldreandel]]&lt;=H$434,H$434,IF(Tabell2[[#This Row],[Eldreandel]]&gt;=H$435,H$435,Tabell2[[#This Row],[Eldreandel]]))</f>
        <v>0.20928865373309818</v>
      </c>
      <c r="S234" s="24">
        <f>IF(Tabell2[[#This Row],[Sysselsettingsvekst10]]&lt;=I$434,I$434,IF(Tabell2[[#This Row],[Sysselsettingsvekst10]]&gt;=I$435,I$435,Tabell2[[#This Row],[Sysselsettingsvekst10]]))</f>
        <v>9.2391304347826164E-2</v>
      </c>
      <c r="T234" s="24">
        <f>IF(Tabell2[[#This Row],[Yrkesaktivandel]]&lt;=J$434,J$434,IF(Tabell2[[#This Row],[Yrkesaktivandel]]&gt;=J$435,J$435,Tabell2[[#This Row],[Yrkesaktivandel]]))</f>
        <v>0.94066914614326791</v>
      </c>
      <c r="U234" s="24">
        <f>IF(Tabell2[[#This Row],[Inntekt]]&lt;=K$434,K$434,IF(Tabell2[[#This Row],[Inntekt]]&gt;=K$435,K$435,Tabell2[[#This Row],[Inntekt]]))</f>
        <v>402300</v>
      </c>
      <c r="V234" s="7">
        <f>IF(Tabell2[[#This Row],[NIBR11-T]]&lt;=L$437,100,IF(Tabell2[[#This Row],[NIBR11-T]]&gt;=L$436,0,100*(L$436-Tabell2[[#This Row],[NIBR11-T]])/L$439))</f>
        <v>60</v>
      </c>
      <c r="W234" s="7">
        <f>(M$436-Tabell2[[#This Row],[ReisetidOslo-T]])*100/M$439</f>
        <v>22.847531992709907</v>
      </c>
      <c r="X234" s="7">
        <f>100-(N$436-Tabell2[[#This Row],[Beftettland-T]])*100/N$439</f>
        <v>1.4255586587895266</v>
      </c>
      <c r="Y234" s="7">
        <f>100-(O$436-Tabell2[[#This Row],[Beftettotal-T]])*100/O$439</f>
        <v>1.3325551517809799</v>
      </c>
      <c r="Z234" s="7">
        <f>100-(P$436-Tabell2[[#This Row],[Befvekst10-T]])*100/P$439</f>
        <v>30.676112479314355</v>
      </c>
      <c r="AA234" s="7">
        <f>100-(Q$436-Tabell2[[#This Row],[Kvinneandel-T]])*100/Q$439</f>
        <v>16.561378748450551</v>
      </c>
      <c r="AB234" s="7">
        <f>(R$436-Tabell2[[#This Row],[Eldreandel-T]])*100/R$439</f>
        <v>11.915304466668298</v>
      </c>
      <c r="AC234" s="7">
        <f>100-(S$436-Tabell2[[#This Row],[Sysselsettingsvekst10-T]])*100/S$439</f>
        <v>60.362430019867716</v>
      </c>
      <c r="AD234" s="7">
        <f>100-(T$436-Tabell2[[#This Row],[Yrkesaktivandel-T]])*100/T$439</f>
        <v>100</v>
      </c>
      <c r="AE234" s="7">
        <f>100-(U$436-Tabell2[[#This Row],[Inntekt-T]])*100/U$439</f>
        <v>65.331226723846072</v>
      </c>
      <c r="AF234" s="7">
        <v>12</v>
      </c>
      <c r="AG234" s="7">
        <v>2.2847531992709906</v>
      </c>
      <c r="AH234" s="7">
        <v>0.133255515178098</v>
      </c>
      <c r="AI234" s="7">
        <v>6.1352224958628714</v>
      </c>
      <c r="AJ234" s="7">
        <v>0.82806893742252763</v>
      </c>
      <c r="AK234" s="7">
        <v>0.59576522333341486</v>
      </c>
      <c r="AL234" s="7">
        <v>6.0362430019867723</v>
      </c>
      <c r="AM234" s="7">
        <v>10</v>
      </c>
      <c r="AN234" s="7">
        <v>6.5331226723846072</v>
      </c>
      <c r="AO23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44.546431045439284</v>
      </c>
    </row>
    <row r="235" spans="1:41" x14ac:dyDescent="0.3">
      <c r="A235" s="2" t="s">
        <v>232</v>
      </c>
      <c r="B235">
        <f>'Rådata-K'!N234</f>
        <v>7</v>
      </c>
      <c r="C235" s="7">
        <f>'Rådata-K'!M234</f>
        <v>168.11666666667</v>
      </c>
      <c r="D235" s="24">
        <f>'Rådata-K'!O234</f>
        <v>18.405940288369511</v>
      </c>
      <c r="E235" s="24">
        <f>'Rådata-K'!P234</f>
        <v>17.196717291910058</v>
      </c>
      <c r="F235" s="24">
        <f>'Rådata-K'!Q234</f>
        <v>4.4960560911481151E-2</v>
      </c>
      <c r="G235" s="24">
        <f>'Rådata-K'!R234</f>
        <v>0.11767172691436718</v>
      </c>
      <c r="H235" s="24">
        <f>'Rådata-K'!S234</f>
        <v>0.13285247001593559</v>
      </c>
      <c r="I235" s="24">
        <f>'Rådata-K'!T234</f>
        <v>5.1012753188297122E-2</v>
      </c>
      <c r="J235" s="24">
        <f>'Rådata-K'!U234</f>
        <v>0.87216196673897328</v>
      </c>
      <c r="K235" s="24">
        <f>'Rådata-K'!L234</f>
        <v>416500</v>
      </c>
      <c r="L235" s="24">
        <f>Tabell2[[#This Row],[NIBR11]]</f>
        <v>7</v>
      </c>
      <c r="M235" s="24">
        <f>IF(Tabell2[[#This Row],[ReisetidOslo]]&lt;=C$434,C$434,IF(Tabell2[[#This Row],[ReisetidOslo]]&gt;=C$435,C$435,Tabell2[[#This Row],[ReisetidOslo]]))</f>
        <v>168.11666666667</v>
      </c>
      <c r="N235" s="24">
        <f>IF(Tabell2[[#This Row],[Beftettland]]&lt;=D$434,D$434,IF(Tabell2[[#This Row],[Beftettland]]&gt;=D$435,D$435,Tabell2[[#This Row],[Beftettland]]))</f>
        <v>18.405940288369511</v>
      </c>
      <c r="O235" s="24">
        <f>IF(Tabell2[[#This Row],[Beftettotal]]&lt;=E$434,E$434,IF(Tabell2[[#This Row],[Beftettotal]]&gt;=E$435,E$435,Tabell2[[#This Row],[Beftettotal]]))</f>
        <v>17.196717291910058</v>
      </c>
      <c r="P235" s="24">
        <f>IF(Tabell2[[#This Row],[Befvekst10]]&lt;=F$434,F$434,IF(Tabell2[[#This Row],[Befvekst10]]&gt;=F$435,F$435,Tabell2[[#This Row],[Befvekst10]]))</f>
        <v>4.4960560911481151E-2</v>
      </c>
      <c r="Q235" s="24">
        <f>IF(Tabell2[[#This Row],[Kvinneandel]]&lt;=G$434,G$434,IF(Tabell2[[#This Row],[Kvinneandel]]&gt;=G$435,G$435,Tabell2[[#This Row],[Kvinneandel]]))</f>
        <v>0.11767172691436718</v>
      </c>
      <c r="R235" s="24">
        <f>IF(Tabell2[[#This Row],[Eldreandel]]&lt;=H$434,H$434,IF(Tabell2[[#This Row],[Eldreandel]]&gt;=H$435,H$435,Tabell2[[#This Row],[Eldreandel]]))</f>
        <v>0.13285247001593559</v>
      </c>
      <c r="S235" s="24">
        <f>IF(Tabell2[[#This Row],[Sysselsettingsvekst10]]&lt;=I$434,I$434,IF(Tabell2[[#This Row],[Sysselsettingsvekst10]]&gt;=I$435,I$435,Tabell2[[#This Row],[Sysselsettingsvekst10]]))</f>
        <v>5.1012753188297122E-2</v>
      </c>
      <c r="T235" s="24">
        <f>IF(Tabell2[[#This Row],[Yrkesaktivandel]]&lt;=J$434,J$434,IF(Tabell2[[#This Row],[Yrkesaktivandel]]&gt;=J$435,J$435,Tabell2[[#This Row],[Yrkesaktivandel]]))</f>
        <v>0.87216196673897328</v>
      </c>
      <c r="U235" s="24">
        <f>IF(Tabell2[[#This Row],[Inntekt]]&lt;=K$434,K$434,IF(Tabell2[[#This Row],[Inntekt]]&gt;=K$435,K$435,Tabell2[[#This Row],[Inntekt]]))</f>
        <v>416500</v>
      </c>
      <c r="V235" s="7">
        <f>IF(Tabell2[[#This Row],[NIBR11-T]]&lt;=L$437,100,IF(Tabell2[[#This Row],[NIBR11-T]]&gt;=L$436,0,100*(L$436-Tabell2[[#This Row],[NIBR11-T]])/L$439))</f>
        <v>40</v>
      </c>
      <c r="W235" s="7">
        <f>(M$436-Tabell2[[#This Row],[ReisetidOslo-T]])*100/M$439</f>
        <v>49.289945155396779</v>
      </c>
      <c r="X235" s="7">
        <f>100-(N$436-Tabell2[[#This Row],[Beftettland-T]])*100/N$439</f>
        <v>12.577477095345529</v>
      </c>
      <c r="Y235" s="7">
        <f>100-(O$436-Tabell2[[#This Row],[Beftettotal-T]])*100/O$439</f>
        <v>12.154134150840164</v>
      </c>
      <c r="Z235" s="7">
        <f>100-(P$436-Tabell2[[#This Row],[Befvekst10-T]])*100/P$439</f>
        <v>46.961762960251896</v>
      </c>
      <c r="AA235" s="7">
        <f>100-(Q$436-Tabell2[[#This Row],[Kvinneandel-T]])*100/Q$439</f>
        <v>73.951307254885805</v>
      </c>
      <c r="AB235" s="7">
        <f>(R$436-Tabell2[[#This Row],[Eldreandel-T]])*100/R$439</f>
        <v>94.409425224448967</v>
      </c>
      <c r="AC235" s="7">
        <f>100-(S$436-Tabell2[[#This Row],[Sysselsettingsvekst10-T]])*100/S$439</f>
        <v>46.858486022062074</v>
      </c>
      <c r="AD235" s="7">
        <f>100-(T$436-Tabell2[[#This Row],[Yrkesaktivandel-T]])*100/T$439</f>
        <v>51.682309573814116</v>
      </c>
      <c r="AE235" s="7">
        <f>100-(U$436-Tabell2[[#This Row],[Inntekt-T]])*100/U$439</f>
        <v>81.356506037693265</v>
      </c>
      <c r="AF235" s="7">
        <v>8</v>
      </c>
      <c r="AG235" s="7">
        <v>4.9289945155396779</v>
      </c>
      <c r="AH235" s="7">
        <v>1.2154134150840166</v>
      </c>
      <c r="AI235" s="7">
        <v>9.3923525920503792</v>
      </c>
      <c r="AJ235" s="7">
        <v>3.6975653627442906</v>
      </c>
      <c r="AK235" s="7">
        <v>4.7204712612224489</v>
      </c>
      <c r="AL235" s="7">
        <v>4.6858486022062076</v>
      </c>
      <c r="AM235" s="7">
        <v>5.1682309573814118</v>
      </c>
      <c r="AN235" s="7">
        <v>8.1356506037693261</v>
      </c>
      <c r="AO23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49.94452730999776</v>
      </c>
    </row>
    <row r="236" spans="1:41" x14ac:dyDescent="0.3">
      <c r="A236" s="2" t="s">
        <v>233</v>
      </c>
      <c r="B236">
        <f>'Rådata-K'!N235</f>
        <v>11</v>
      </c>
      <c r="C236" s="7">
        <f>'Rådata-K'!M235</f>
        <v>259.383333333</v>
      </c>
      <c r="D236" s="24">
        <f>'Rådata-K'!O235</f>
        <v>4.1188022453554858</v>
      </c>
      <c r="E236" s="24">
        <f>'Rådata-K'!P235</f>
        <v>3.9684533078816502</v>
      </c>
      <c r="F236" s="24">
        <f>'Rådata-K'!Q235</f>
        <v>-1.9445593711212239E-2</v>
      </c>
      <c r="G236" s="24">
        <f>'Rådata-K'!R235</f>
        <v>0.10970464135021098</v>
      </c>
      <c r="H236" s="24">
        <f>'Rådata-K'!S235</f>
        <v>0.19535864978902953</v>
      </c>
      <c r="I236" s="24">
        <f>'Rådata-K'!T235</f>
        <v>0.10087719298245612</v>
      </c>
      <c r="J236" s="24">
        <f>'Rådata-K'!U235</f>
        <v>0.98070987654320985</v>
      </c>
      <c r="K236" s="24">
        <f>'Rådata-K'!L235</f>
        <v>390800</v>
      </c>
      <c r="L236" s="24">
        <f>Tabell2[[#This Row],[NIBR11]]</f>
        <v>11</v>
      </c>
      <c r="M236" s="24">
        <f>IF(Tabell2[[#This Row],[ReisetidOslo]]&lt;=C$434,C$434,IF(Tabell2[[#This Row],[ReisetidOslo]]&gt;=C$435,C$435,Tabell2[[#This Row],[ReisetidOslo]]))</f>
        <v>259.383333333</v>
      </c>
      <c r="N236" s="24">
        <f>IF(Tabell2[[#This Row],[Beftettland]]&lt;=D$434,D$434,IF(Tabell2[[#This Row],[Beftettland]]&gt;=D$435,D$435,Tabell2[[#This Row],[Beftettland]]))</f>
        <v>4.1188022453554858</v>
      </c>
      <c r="O236" s="24">
        <f>IF(Tabell2[[#This Row],[Beftettotal]]&lt;=E$434,E$434,IF(Tabell2[[#This Row],[Beftettotal]]&gt;=E$435,E$435,Tabell2[[#This Row],[Beftettotal]]))</f>
        <v>3.9684533078816502</v>
      </c>
      <c r="P236" s="24">
        <f>IF(Tabell2[[#This Row],[Befvekst10]]&lt;=F$434,F$434,IF(Tabell2[[#This Row],[Befvekst10]]&gt;=F$435,F$435,Tabell2[[#This Row],[Befvekst10]]))</f>
        <v>-1.9445593711212239E-2</v>
      </c>
      <c r="Q236" s="24">
        <f>IF(Tabell2[[#This Row],[Kvinneandel]]&lt;=G$434,G$434,IF(Tabell2[[#This Row],[Kvinneandel]]&gt;=G$435,G$435,Tabell2[[#This Row],[Kvinneandel]]))</f>
        <v>0.10970464135021098</v>
      </c>
      <c r="R236" s="24">
        <f>IF(Tabell2[[#This Row],[Eldreandel]]&lt;=H$434,H$434,IF(Tabell2[[#This Row],[Eldreandel]]&gt;=H$435,H$435,Tabell2[[#This Row],[Eldreandel]]))</f>
        <v>0.19535864978902953</v>
      </c>
      <c r="S236" s="24">
        <f>IF(Tabell2[[#This Row],[Sysselsettingsvekst10]]&lt;=I$434,I$434,IF(Tabell2[[#This Row],[Sysselsettingsvekst10]]&gt;=I$435,I$435,Tabell2[[#This Row],[Sysselsettingsvekst10]]))</f>
        <v>0.10087719298245612</v>
      </c>
      <c r="T236" s="24">
        <f>IF(Tabell2[[#This Row],[Yrkesaktivandel]]&lt;=J$434,J$434,IF(Tabell2[[#This Row],[Yrkesaktivandel]]&gt;=J$435,J$435,Tabell2[[#This Row],[Yrkesaktivandel]]))</f>
        <v>0.94066914614326791</v>
      </c>
      <c r="U236" s="24">
        <f>IF(Tabell2[[#This Row],[Inntekt]]&lt;=K$434,K$434,IF(Tabell2[[#This Row],[Inntekt]]&gt;=K$435,K$435,Tabell2[[#This Row],[Inntekt]]))</f>
        <v>390800</v>
      </c>
      <c r="V236" s="7">
        <f>IF(Tabell2[[#This Row],[NIBR11-T]]&lt;=L$437,100,IF(Tabell2[[#This Row],[NIBR11-T]]&gt;=L$436,0,100*(L$436-Tabell2[[#This Row],[NIBR11-T]])/L$439))</f>
        <v>0</v>
      </c>
      <c r="W236" s="7">
        <f>(M$436-Tabell2[[#This Row],[ReisetidOslo-T]])*100/M$439</f>
        <v>9.2460694699910153</v>
      </c>
      <c r="X236" s="7">
        <f>100-(N$436-Tabell2[[#This Row],[Beftettland-T]])*100/N$439</f>
        <v>2.0092275950856617</v>
      </c>
      <c r="Y236" s="7">
        <f>100-(O$436-Tabell2[[#This Row],[Beftettotal-T]])*100/O$439</f>
        <v>2.0287107433345426</v>
      </c>
      <c r="Z236" s="7">
        <f>100-(P$436-Tabell2[[#This Row],[Befvekst10-T]])*100/P$439</f>
        <v>20.892660077304086</v>
      </c>
      <c r="AA236" s="7">
        <f>100-(Q$436-Tabell2[[#This Row],[Kvinneandel-T]])*100/Q$439</f>
        <v>53.021349061834506</v>
      </c>
      <c r="AB236" s="7">
        <f>(R$436-Tabell2[[#This Row],[Eldreandel-T]])*100/R$439</f>
        <v>26.949328558851459</v>
      </c>
      <c r="AC236" s="7">
        <f>100-(S$436-Tabell2[[#This Row],[Sysselsettingsvekst10-T]])*100/S$439</f>
        <v>63.131810814566443</v>
      </c>
      <c r="AD236" s="7">
        <f>100-(T$436-Tabell2[[#This Row],[Yrkesaktivandel-T]])*100/T$439</f>
        <v>100</v>
      </c>
      <c r="AE236" s="7">
        <f>100-(U$436-Tabell2[[#This Row],[Inntekt-T]])*100/U$439</f>
        <v>52.353007561223336</v>
      </c>
      <c r="AF236" s="7">
        <v>0</v>
      </c>
      <c r="AG236" s="7">
        <v>0.92460694699910162</v>
      </c>
      <c r="AH236" s="7">
        <v>0.20287107433345428</v>
      </c>
      <c r="AI236" s="7">
        <v>4.1785320154608172</v>
      </c>
      <c r="AJ236" s="7">
        <v>2.6510674530917253</v>
      </c>
      <c r="AK236" s="7">
        <v>1.347466427942573</v>
      </c>
      <c r="AL236" s="7">
        <v>6.3131810814566443</v>
      </c>
      <c r="AM236" s="7">
        <v>10</v>
      </c>
      <c r="AN236" s="7">
        <v>5.2353007561223341</v>
      </c>
      <c r="AO23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30.853025755406652</v>
      </c>
    </row>
    <row r="237" spans="1:41" x14ac:dyDescent="0.3">
      <c r="A237" s="2" t="s">
        <v>234</v>
      </c>
      <c r="B237">
        <f>'Rådata-K'!N236</f>
        <v>11</v>
      </c>
      <c r="C237" s="7">
        <f>'Rådata-K'!M236</f>
        <v>311.3</v>
      </c>
      <c r="D237" s="24">
        <f>'Rådata-K'!O236</f>
        <v>3.5826753685363513</v>
      </c>
      <c r="E237" s="24">
        <f>'Rådata-K'!P236</f>
        <v>3.4392113910186199</v>
      </c>
      <c r="F237" s="24">
        <f>'Rådata-K'!Q236</f>
        <v>-0.10490307867730897</v>
      </c>
      <c r="G237" s="24">
        <f>'Rådata-K'!R236</f>
        <v>8.1528662420382161E-2</v>
      </c>
      <c r="H237" s="24">
        <f>'Rådata-K'!S236</f>
        <v>0.22292993630573249</v>
      </c>
      <c r="I237" s="24">
        <f>'Rådata-K'!T236</f>
        <v>-8.1578947368421084E-2</v>
      </c>
      <c r="J237" s="24">
        <f>'Rådata-K'!U236</f>
        <v>0.89861751152073732</v>
      </c>
      <c r="K237" s="24">
        <f>'Rådata-K'!L236</f>
        <v>386100</v>
      </c>
      <c r="L237" s="24">
        <f>Tabell2[[#This Row],[NIBR11]]</f>
        <v>11</v>
      </c>
      <c r="M237" s="24">
        <f>IF(Tabell2[[#This Row],[ReisetidOslo]]&lt;=C$434,C$434,IF(Tabell2[[#This Row],[ReisetidOslo]]&gt;=C$435,C$435,Tabell2[[#This Row],[ReisetidOslo]]))</f>
        <v>280.45666666669001</v>
      </c>
      <c r="N237" s="24">
        <f>IF(Tabell2[[#This Row],[Beftettland]]&lt;=D$434,D$434,IF(Tabell2[[#This Row],[Beftettland]]&gt;=D$435,D$435,Tabell2[[#This Row],[Beftettland]]))</f>
        <v>3.5826753685363513</v>
      </c>
      <c r="O237" s="24">
        <f>IF(Tabell2[[#This Row],[Beftettotal]]&lt;=E$434,E$434,IF(Tabell2[[#This Row],[Beftettotal]]&gt;=E$435,E$435,Tabell2[[#This Row],[Beftettotal]]))</f>
        <v>3.4392113910186199</v>
      </c>
      <c r="P237" s="24">
        <f>IF(Tabell2[[#This Row],[Befvekst10]]&lt;=F$434,F$434,IF(Tabell2[[#This Row],[Befvekst10]]&gt;=F$435,F$435,Tabell2[[#This Row],[Befvekst10]]))</f>
        <v>-7.1062862685144085E-2</v>
      </c>
      <c r="Q237" s="24">
        <f>IF(Tabell2[[#This Row],[Kvinneandel]]&lt;=G$434,G$434,IF(Tabell2[[#This Row],[Kvinneandel]]&gt;=G$435,G$435,Tabell2[[#This Row],[Kvinneandel]]))</f>
        <v>8.9521819157910881E-2</v>
      </c>
      <c r="R237" s="24">
        <f>IF(Tabell2[[#This Row],[Eldreandel]]&lt;=H$434,H$434,IF(Tabell2[[#This Row],[Eldreandel]]&gt;=H$435,H$435,Tabell2[[#This Row],[Eldreandel]]))</f>
        <v>0.22032896051974013</v>
      </c>
      <c r="S237" s="24">
        <f>IF(Tabell2[[#This Row],[Sysselsettingsvekst10]]&lt;=I$434,I$434,IF(Tabell2[[#This Row],[Sysselsettingsvekst10]]&gt;=I$435,I$435,Tabell2[[#This Row],[Sysselsettingsvekst10]]))</f>
        <v>-8.1578947368421084E-2</v>
      </c>
      <c r="T237" s="24">
        <f>IF(Tabell2[[#This Row],[Yrkesaktivandel]]&lt;=J$434,J$434,IF(Tabell2[[#This Row],[Yrkesaktivandel]]&gt;=J$435,J$435,Tabell2[[#This Row],[Yrkesaktivandel]]))</f>
        <v>0.89861751152073732</v>
      </c>
      <c r="U237" s="24">
        <f>IF(Tabell2[[#This Row],[Inntekt]]&lt;=K$434,K$434,IF(Tabell2[[#This Row],[Inntekt]]&gt;=K$435,K$435,Tabell2[[#This Row],[Inntekt]]))</f>
        <v>386100</v>
      </c>
      <c r="V237" s="7">
        <f>IF(Tabell2[[#This Row],[NIBR11-T]]&lt;=L$437,100,IF(Tabell2[[#This Row],[NIBR11-T]]&gt;=L$436,0,100*(L$436-Tabell2[[#This Row],[NIBR11-T]])/L$439))</f>
        <v>0</v>
      </c>
      <c r="W237" s="7">
        <f>(M$436-Tabell2[[#This Row],[ReisetidOslo-T]])*100/M$439</f>
        <v>0</v>
      </c>
      <c r="X237" s="7">
        <f>100-(N$436-Tabell2[[#This Row],[Beftettland-T]])*100/N$439</f>
        <v>1.6126525370886355</v>
      </c>
      <c r="Y237" s="7">
        <f>100-(O$436-Tabell2[[#This Row],[Beftettotal-T]])*100/O$439</f>
        <v>1.6236085697078266</v>
      </c>
      <c r="Z237" s="7">
        <f>100-(P$436-Tabell2[[#This Row],[Befvekst10-T]])*100/P$439</f>
        <v>0</v>
      </c>
      <c r="AA237" s="7">
        <f>100-(Q$436-Tabell2[[#This Row],[Kvinneandel-T]])*100/Q$439</f>
        <v>0</v>
      </c>
      <c r="AB237" s="7">
        <f>(R$436-Tabell2[[#This Row],[Eldreandel-T]])*100/R$439</f>
        <v>0</v>
      </c>
      <c r="AC237" s="7">
        <f>100-(S$436-Tabell2[[#This Row],[Sysselsettingsvekst10-T]])*100/S$439</f>
        <v>3.5870120647289525</v>
      </c>
      <c r="AD237" s="7">
        <f>100-(T$436-Tabell2[[#This Row],[Yrkesaktivandel-T]])*100/T$439</f>
        <v>70.341241877502554</v>
      </c>
      <c r="AE237" s="7">
        <f>100-(U$436-Tabell2[[#This Row],[Inntekt-T]])*100/U$439</f>
        <v>47.048865816499266</v>
      </c>
      <c r="AF237" s="7">
        <v>0</v>
      </c>
      <c r="AG237" s="7">
        <v>0</v>
      </c>
      <c r="AH237" s="7">
        <v>0.16236085697078267</v>
      </c>
      <c r="AI237" s="7">
        <v>0</v>
      </c>
      <c r="AJ237" s="7">
        <v>0</v>
      </c>
      <c r="AK237" s="7">
        <v>0</v>
      </c>
      <c r="AL237" s="7">
        <v>0.35870120647289527</v>
      </c>
      <c r="AM237" s="7">
        <v>7.0341241877502556</v>
      </c>
      <c r="AN237" s="7">
        <v>4.7048865816499266</v>
      </c>
      <c r="AO23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12.260072832843861</v>
      </c>
    </row>
    <row r="238" spans="1:41" x14ac:dyDescent="0.3">
      <c r="A238" s="2" t="s">
        <v>235</v>
      </c>
      <c r="B238">
        <f>'Rådata-K'!N237</f>
        <v>11</v>
      </c>
      <c r="C238" s="7">
        <f>'Rådata-K'!M237</f>
        <v>210.9166666667</v>
      </c>
      <c r="D238" s="24">
        <f>'Rådata-K'!O237</f>
        <v>5.6293127799523832</v>
      </c>
      <c r="E238" s="24">
        <f>'Rådata-K'!P237</f>
        <v>5.3881807647740443</v>
      </c>
      <c r="F238" s="24">
        <f>'Rådata-K'!Q237</f>
        <v>-7.1238348868175816E-2</v>
      </c>
      <c r="G238" s="24">
        <f>'Rådata-K'!R237</f>
        <v>7.8136200716845877E-2</v>
      </c>
      <c r="H238" s="24">
        <f>'Rådata-K'!S237</f>
        <v>0.22508960573476702</v>
      </c>
      <c r="I238" s="24">
        <f>'Rådata-K'!T237</f>
        <v>1.4025245441795509E-3</v>
      </c>
      <c r="J238" s="24">
        <f>'Rådata-K'!U237</f>
        <v>0.94406548431105053</v>
      </c>
      <c r="K238" s="24">
        <f>'Rådata-K'!L237</f>
        <v>375600</v>
      </c>
      <c r="L238" s="24">
        <f>Tabell2[[#This Row],[NIBR11]]</f>
        <v>11</v>
      </c>
      <c r="M238" s="24">
        <f>IF(Tabell2[[#This Row],[ReisetidOslo]]&lt;=C$434,C$434,IF(Tabell2[[#This Row],[ReisetidOslo]]&gt;=C$435,C$435,Tabell2[[#This Row],[ReisetidOslo]]))</f>
        <v>210.9166666667</v>
      </c>
      <c r="N238" s="24">
        <f>IF(Tabell2[[#This Row],[Beftettland]]&lt;=D$434,D$434,IF(Tabell2[[#This Row],[Beftettland]]&gt;=D$435,D$435,Tabell2[[#This Row],[Beftettland]]))</f>
        <v>5.6293127799523832</v>
      </c>
      <c r="O238" s="24">
        <f>IF(Tabell2[[#This Row],[Beftettotal]]&lt;=E$434,E$434,IF(Tabell2[[#This Row],[Beftettotal]]&gt;=E$435,E$435,Tabell2[[#This Row],[Beftettotal]]))</f>
        <v>5.3881807647740443</v>
      </c>
      <c r="P238" s="24">
        <f>IF(Tabell2[[#This Row],[Befvekst10]]&lt;=F$434,F$434,IF(Tabell2[[#This Row],[Befvekst10]]&gt;=F$435,F$435,Tabell2[[#This Row],[Befvekst10]]))</f>
        <v>-7.1062862685144085E-2</v>
      </c>
      <c r="Q238" s="24">
        <f>IF(Tabell2[[#This Row],[Kvinneandel]]&lt;=G$434,G$434,IF(Tabell2[[#This Row],[Kvinneandel]]&gt;=G$435,G$435,Tabell2[[#This Row],[Kvinneandel]]))</f>
        <v>8.9521819157910881E-2</v>
      </c>
      <c r="R238" s="24">
        <f>IF(Tabell2[[#This Row],[Eldreandel]]&lt;=H$434,H$434,IF(Tabell2[[#This Row],[Eldreandel]]&gt;=H$435,H$435,Tabell2[[#This Row],[Eldreandel]]))</f>
        <v>0.22032896051974013</v>
      </c>
      <c r="S238" s="24">
        <f>IF(Tabell2[[#This Row],[Sysselsettingsvekst10]]&lt;=I$434,I$434,IF(Tabell2[[#This Row],[Sysselsettingsvekst10]]&gt;=I$435,I$435,Tabell2[[#This Row],[Sysselsettingsvekst10]]))</f>
        <v>1.4025245441795509E-3</v>
      </c>
      <c r="T238" s="24">
        <f>IF(Tabell2[[#This Row],[Yrkesaktivandel]]&lt;=J$434,J$434,IF(Tabell2[[#This Row],[Yrkesaktivandel]]&gt;=J$435,J$435,Tabell2[[#This Row],[Yrkesaktivandel]]))</f>
        <v>0.94066914614326791</v>
      </c>
      <c r="U238" s="24">
        <f>IF(Tabell2[[#This Row],[Inntekt]]&lt;=K$434,K$434,IF(Tabell2[[#This Row],[Inntekt]]&gt;=K$435,K$435,Tabell2[[#This Row],[Inntekt]]))</f>
        <v>375600</v>
      </c>
      <c r="V238" s="7">
        <f>IF(Tabell2[[#This Row],[NIBR11-T]]&lt;=L$437,100,IF(Tabell2[[#This Row],[NIBR11-T]]&gt;=L$436,0,100*(L$436-Tabell2[[#This Row],[NIBR11-T]])/L$439))</f>
        <v>0</v>
      </c>
      <c r="W238" s="7">
        <f>(M$436-Tabell2[[#This Row],[ReisetidOslo-T]])*100/M$439</f>
        <v>30.51115173673838</v>
      </c>
      <c r="X238" s="7">
        <f>100-(N$436-Tabell2[[#This Row],[Beftettland-T]])*100/N$439</f>
        <v>3.1265578927513076</v>
      </c>
      <c r="Y238" s="7">
        <f>100-(O$436-Tabell2[[#This Row],[Beftettotal-T]])*100/O$439</f>
        <v>3.1154248912872333</v>
      </c>
      <c r="Z238" s="7">
        <f>100-(P$436-Tabell2[[#This Row],[Befvekst10-T]])*100/P$439</f>
        <v>0</v>
      </c>
      <c r="AA238" s="7">
        <f>100-(Q$436-Tabell2[[#This Row],[Kvinneandel-T]])*100/Q$439</f>
        <v>0</v>
      </c>
      <c r="AB238" s="7">
        <f>(R$436-Tabell2[[#This Row],[Eldreandel-T]])*100/R$439</f>
        <v>0</v>
      </c>
      <c r="AC238" s="7">
        <f>100-(S$436-Tabell2[[#This Row],[Sysselsettingsvekst10-T]])*100/S$439</f>
        <v>30.668123369061888</v>
      </c>
      <c r="AD238" s="7">
        <f>100-(T$436-Tabell2[[#This Row],[Yrkesaktivandel-T]])*100/T$439</f>
        <v>100</v>
      </c>
      <c r="AE238" s="7">
        <f>100-(U$436-Tabell2[[#This Row],[Inntekt-T]])*100/U$439</f>
        <v>35.19918745062634</v>
      </c>
      <c r="AF238" s="7">
        <v>0</v>
      </c>
      <c r="AG238" s="7">
        <v>3.0511151736738382</v>
      </c>
      <c r="AH238" s="7">
        <v>0.31154248912872334</v>
      </c>
      <c r="AI238" s="7">
        <v>0</v>
      </c>
      <c r="AJ238" s="7">
        <v>0</v>
      </c>
      <c r="AK238" s="7">
        <v>0</v>
      </c>
      <c r="AL238" s="7">
        <v>3.0668123369061888</v>
      </c>
      <c r="AM238" s="7">
        <v>10</v>
      </c>
      <c r="AN238" s="7">
        <v>3.5199187450626344</v>
      </c>
      <c r="AO23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19.949388744771383</v>
      </c>
    </row>
    <row r="239" spans="1:41" x14ac:dyDescent="0.3">
      <c r="A239" s="2" t="s">
        <v>236</v>
      </c>
      <c r="B239">
        <f>'Rådata-K'!N238</f>
        <v>9</v>
      </c>
      <c r="C239" s="7">
        <f>'Rådata-K'!M238</f>
        <v>198.6</v>
      </c>
      <c r="D239" s="24">
        <f>'Rådata-K'!O238</f>
        <v>4.9648605758331446</v>
      </c>
      <c r="E239" s="24">
        <f>'Rådata-K'!P238</f>
        <v>4.5957080217801876</v>
      </c>
      <c r="F239" s="24">
        <f>'Rådata-K'!Q238</f>
        <v>-6.4523381294964044E-2</v>
      </c>
      <c r="G239" s="24">
        <f>'Rådata-K'!R238</f>
        <v>9.7813025714972357E-2</v>
      </c>
      <c r="H239" s="24">
        <f>'Rådata-K'!S238</f>
        <v>0.1833693823600096</v>
      </c>
      <c r="I239" s="24">
        <f>'Rådata-K'!T238</f>
        <v>-0.22710103871576959</v>
      </c>
      <c r="J239" s="24">
        <f>'Rådata-K'!U238</f>
        <v>0.84313725490196079</v>
      </c>
      <c r="K239" s="24">
        <f>'Rådata-K'!L238</f>
        <v>384800</v>
      </c>
      <c r="L239" s="24">
        <f>Tabell2[[#This Row],[NIBR11]]</f>
        <v>9</v>
      </c>
      <c r="M239" s="24">
        <f>IF(Tabell2[[#This Row],[ReisetidOslo]]&lt;=C$434,C$434,IF(Tabell2[[#This Row],[ReisetidOslo]]&gt;=C$435,C$435,Tabell2[[#This Row],[ReisetidOslo]]))</f>
        <v>198.6</v>
      </c>
      <c r="N239" s="24">
        <f>IF(Tabell2[[#This Row],[Beftettland]]&lt;=D$434,D$434,IF(Tabell2[[#This Row],[Beftettland]]&gt;=D$435,D$435,Tabell2[[#This Row],[Beftettland]]))</f>
        <v>4.9648605758331446</v>
      </c>
      <c r="O239" s="24">
        <f>IF(Tabell2[[#This Row],[Beftettotal]]&lt;=E$434,E$434,IF(Tabell2[[#This Row],[Beftettotal]]&gt;=E$435,E$435,Tabell2[[#This Row],[Beftettotal]]))</f>
        <v>4.5957080217801876</v>
      </c>
      <c r="P239" s="24">
        <f>IF(Tabell2[[#This Row],[Befvekst10]]&lt;=F$434,F$434,IF(Tabell2[[#This Row],[Befvekst10]]&gt;=F$435,F$435,Tabell2[[#This Row],[Befvekst10]]))</f>
        <v>-6.4523381294964044E-2</v>
      </c>
      <c r="Q239" s="24">
        <f>IF(Tabell2[[#This Row],[Kvinneandel]]&lt;=G$434,G$434,IF(Tabell2[[#This Row],[Kvinneandel]]&gt;=G$435,G$435,Tabell2[[#This Row],[Kvinneandel]]))</f>
        <v>9.7813025714972357E-2</v>
      </c>
      <c r="R239" s="24">
        <f>IF(Tabell2[[#This Row],[Eldreandel]]&lt;=H$434,H$434,IF(Tabell2[[#This Row],[Eldreandel]]&gt;=H$435,H$435,Tabell2[[#This Row],[Eldreandel]]))</f>
        <v>0.1833693823600096</v>
      </c>
      <c r="S239" s="24">
        <f>IF(Tabell2[[#This Row],[Sysselsettingsvekst10]]&lt;=I$434,I$434,IF(Tabell2[[#This Row],[Sysselsettingsvekst10]]&gt;=I$435,I$435,Tabell2[[#This Row],[Sysselsettingsvekst10]]))</f>
        <v>-9.2570207570207563E-2</v>
      </c>
      <c r="T239" s="24">
        <f>IF(Tabell2[[#This Row],[Yrkesaktivandel]]&lt;=J$434,J$434,IF(Tabell2[[#This Row],[Yrkesaktivandel]]&gt;=J$435,J$435,Tabell2[[#This Row],[Yrkesaktivandel]]))</f>
        <v>0.84313725490196079</v>
      </c>
      <c r="U239" s="24">
        <f>IF(Tabell2[[#This Row],[Inntekt]]&lt;=K$434,K$434,IF(Tabell2[[#This Row],[Inntekt]]&gt;=K$435,K$435,Tabell2[[#This Row],[Inntekt]]))</f>
        <v>384800</v>
      </c>
      <c r="V239" s="7">
        <f>IF(Tabell2[[#This Row],[NIBR11-T]]&lt;=L$437,100,IF(Tabell2[[#This Row],[NIBR11-T]]&gt;=L$436,0,100*(L$436-Tabell2[[#This Row],[NIBR11-T]])/L$439))</f>
        <v>20</v>
      </c>
      <c r="W239" s="7">
        <f>(M$436-Tabell2[[#This Row],[ReisetidOslo-T]])*100/M$439</f>
        <v>35.915173674595231</v>
      </c>
      <c r="X239" s="7">
        <f>100-(N$436-Tabell2[[#This Row],[Beftettland-T]])*100/N$439</f>
        <v>2.6350601097111621</v>
      </c>
      <c r="Y239" s="7">
        <f>100-(O$436-Tabell2[[#This Row],[Beftettotal-T]])*100/O$439</f>
        <v>2.508835691721174</v>
      </c>
      <c r="Z239" s="7">
        <f>100-(P$436-Tabell2[[#This Row],[Befvekst10-T]])*100/P$439</f>
        <v>2.6469273652561469</v>
      </c>
      <c r="AA239" s="7">
        <f>100-(Q$436-Tabell2[[#This Row],[Kvinneandel-T]])*100/Q$439</f>
        <v>21.781441307719717</v>
      </c>
      <c r="AB239" s="7">
        <f>(R$436-Tabell2[[#This Row],[Eldreandel-T]])*100/R$439</f>
        <v>39.888803385939418</v>
      </c>
      <c r="AC239" s="7">
        <f>100-(S$436-Tabell2[[#This Row],[Sysselsettingsvekst10-T]])*100/S$439</f>
        <v>0</v>
      </c>
      <c r="AD239" s="7">
        <f>100-(T$436-Tabell2[[#This Row],[Yrkesaktivandel-T]])*100/T$439</f>
        <v>31.211359617259518</v>
      </c>
      <c r="AE239" s="7">
        <f>100-(U$436-Tabell2[[#This Row],[Inntekt-T]])*100/U$439</f>
        <v>45.581762780724524</v>
      </c>
      <c r="AF239" s="7">
        <v>4</v>
      </c>
      <c r="AG239" s="7">
        <v>3.5915173674595233</v>
      </c>
      <c r="AH239" s="7">
        <v>0.2508835691721174</v>
      </c>
      <c r="AI239" s="7">
        <v>0.5293854730512294</v>
      </c>
      <c r="AJ239" s="7">
        <v>1.089072065385986</v>
      </c>
      <c r="AK239" s="7">
        <v>1.9944401692969711</v>
      </c>
      <c r="AL239" s="7">
        <v>0</v>
      </c>
      <c r="AM239" s="7">
        <v>3.121135961725952</v>
      </c>
      <c r="AN239" s="7">
        <v>4.5581762780724526</v>
      </c>
      <c r="AO23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19.134610884164232</v>
      </c>
    </row>
    <row r="240" spans="1:41" x14ac:dyDescent="0.3">
      <c r="A240" s="2" t="s">
        <v>237</v>
      </c>
      <c r="B240">
        <f>'Rådata-K'!N239</f>
        <v>11</v>
      </c>
      <c r="C240" s="7">
        <f>'Rådata-K'!M239</f>
        <v>219.36666666669998</v>
      </c>
      <c r="D240" s="24">
        <f>'Rådata-K'!O239</f>
        <v>3.3724211450429546</v>
      </c>
      <c r="E240" s="24">
        <f>'Rådata-K'!P239</f>
        <v>3.2268129072516287</v>
      </c>
      <c r="F240" s="24">
        <f>'Rådata-K'!Q239</f>
        <v>-5.5497014401123979E-2</v>
      </c>
      <c r="G240" s="24">
        <f>'Rådata-K'!R239</f>
        <v>9.8921532168092227E-2</v>
      </c>
      <c r="H240" s="24">
        <f>'Rådata-K'!S239</f>
        <v>0.22313127556712534</v>
      </c>
      <c r="I240" s="24">
        <f>'Rådata-K'!T239</f>
        <v>-5.5423594615994221E-3</v>
      </c>
      <c r="J240" s="24">
        <f>'Rådata-K'!U239</f>
        <v>0.98864442867281765</v>
      </c>
      <c r="K240" s="24">
        <f>'Rådata-K'!L239</f>
        <v>379500</v>
      </c>
      <c r="L240" s="24">
        <f>Tabell2[[#This Row],[NIBR11]]</f>
        <v>11</v>
      </c>
      <c r="M240" s="24">
        <f>IF(Tabell2[[#This Row],[ReisetidOslo]]&lt;=C$434,C$434,IF(Tabell2[[#This Row],[ReisetidOslo]]&gt;=C$435,C$435,Tabell2[[#This Row],[ReisetidOslo]]))</f>
        <v>219.36666666669998</v>
      </c>
      <c r="N240" s="24">
        <f>IF(Tabell2[[#This Row],[Beftettland]]&lt;=D$434,D$434,IF(Tabell2[[#This Row],[Beftettland]]&gt;=D$435,D$435,Tabell2[[#This Row],[Beftettland]]))</f>
        <v>3.3724211450429546</v>
      </c>
      <c r="O240" s="24">
        <f>IF(Tabell2[[#This Row],[Beftettotal]]&lt;=E$434,E$434,IF(Tabell2[[#This Row],[Beftettotal]]&gt;=E$435,E$435,Tabell2[[#This Row],[Beftettotal]]))</f>
        <v>3.2268129072516287</v>
      </c>
      <c r="P240" s="24">
        <f>IF(Tabell2[[#This Row],[Befvekst10]]&lt;=F$434,F$434,IF(Tabell2[[#This Row],[Befvekst10]]&gt;=F$435,F$435,Tabell2[[#This Row],[Befvekst10]]))</f>
        <v>-5.5497014401123979E-2</v>
      </c>
      <c r="Q240" s="24">
        <f>IF(Tabell2[[#This Row],[Kvinneandel]]&lt;=G$434,G$434,IF(Tabell2[[#This Row],[Kvinneandel]]&gt;=G$435,G$435,Tabell2[[#This Row],[Kvinneandel]]))</f>
        <v>9.8921532168092227E-2</v>
      </c>
      <c r="R240" s="24">
        <f>IF(Tabell2[[#This Row],[Eldreandel]]&lt;=H$434,H$434,IF(Tabell2[[#This Row],[Eldreandel]]&gt;=H$435,H$435,Tabell2[[#This Row],[Eldreandel]]))</f>
        <v>0.22032896051974013</v>
      </c>
      <c r="S240" s="24">
        <f>IF(Tabell2[[#This Row],[Sysselsettingsvekst10]]&lt;=I$434,I$434,IF(Tabell2[[#This Row],[Sysselsettingsvekst10]]&gt;=I$435,I$435,Tabell2[[#This Row],[Sysselsettingsvekst10]]))</f>
        <v>-5.5423594615994221E-3</v>
      </c>
      <c r="T240" s="24">
        <f>IF(Tabell2[[#This Row],[Yrkesaktivandel]]&lt;=J$434,J$434,IF(Tabell2[[#This Row],[Yrkesaktivandel]]&gt;=J$435,J$435,Tabell2[[#This Row],[Yrkesaktivandel]]))</f>
        <v>0.94066914614326791</v>
      </c>
      <c r="U240" s="24">
        <f>IF(Tabell2[[#This Row],[Inntekt]]&lt;=K$434,K$434,IF(Tabell2[[#This Row],[Inntekt]]&gt;=K$435,K$435,Tabell2[[#This Row],[Inntekt]]))</f>
        <v>379500</v>
      </c>
      <c r="V240" s="7">
        <f>IF(Tabell2[[#This Row],[NIBR11-T]]&lt;=L$437,100,IF(Tabell2[[#This Row],[NIBR11-T]]&gt;=L$436,0,100*(L$436-Tabell2[[#This Row],[NIBR11-T]])/L$439))</f>
        <v>0</v>
      </c>
      <c r="W240" s="7">
        <f>(M$436-Tabell2[[#This Row],[ReisetidOslo-T]])*100/M$439</f>
        <v>26.803656307122679</v>
      </c>
      <c r="X240" s="7">
        <f>100-(N$436-Tabell2[[#This Row],[Beftettland-T]])*100/N$439</f>
        <v>1.4571267007964508</v>
      </c>
      <c r="Y240" s="7">
        <f>100-(O$436-Tabell2[[#This Row],[Beftettotal-T]])*100/O$439</f>
        <v>1.4610305789866089</v>
      </c>
      <c r="Z240" s="7">
        <f>100-(P$436-Tabell2[[#This Row],[Befvekst10-T]])*100/P$439</f>
        <v>6.300449122505114</v>
      </c>
      <c r="AA240" s="7">
        <f>100-(Q$436-Tabell2[[#This Row],[Kvinneandel-T]])*100/Q$439</f>
        <v>24.693546811507375</v>
      </c>
      <c r="AB240" s="7">
        <f>(R$436-Tabell2[[#This Row],[Eldreandel-T]])*100/R$439</f>
        <v>0</v>
      </c>
      <c r="AC240" s="7">
        <f>100-(S$436-Tabell2[[#This Row],[Sysselsettingsvekst10-T]])*100/S$439</f>
        <v>28.401651439589841</v>
      </c>
      <c r="AD240" s="7">
        <f>100-(T$436-Tabell2[[#This Row],[Yrkesaktivandel-T]])*100/T$439</f>
        <v>100</v>
      </c>
      <c r="AE240" s="7">
        <f>100-(U$436-Tabell2[[#This Row],[Inntekt-T]])*100/U$439</f>
        <v>39.600496557950571</v>
      </c>
      <c r="AF240" s="7">
        <v>0</v>
      </c>
      <c r="AG240" s="7">
        <v>2.6803656307122683</v>
      </c>
      <c r="AH240" s="7">
        <v>0.1461030578986609</v>
      </c>
      <c r="AI240" s="7">
        <v>1.2600898245010228</v>
      </c>
      <c r="AJ240" s="7">
        <v>1.2346773405753688</v>
      </c>
      <c r="AK240" s="7">
        <v>0</v>
      </c>
      <c r="AL240" s="7">
        <v>2.8401651439589841</v>
      </c>
      <c r="AM240" s="7">
        <v>10</v>
      </c>
      <c r="AN240" s="7">
        <v>3.9600496557950571</v>
      </c>
      <c r="AO24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22.121450653441361</v>
      </c>
    </row>
    <row r="241" spans="1:41" x14ac:dyDescent="0.3">
      <c r="A241" s="2" t="s">
        <v>238</v>
      </c>
      <c r="B241">
        <f>'Rådata-K'!N240</f>
        <v>9</v>
      </c>
      <c r="C241" s="7">
        <f>'Rådata-K'!M240</f>
        <v>208.61666666669998</v>
      </c>
      <c r="D241" s="24">
        <f>'Rådata-K'!O240</f>
        <v>3.1481121058777735</v>
      </c>
      <c r="E241" s="24">
        <f>'Rådata-K'!P240</f>
        <v>3.0116135638978752</v>
      </c>
      <c r="F241" s="24">
        <f>'Rådata-K'!Q240</f>
        <v>-7.9658605974395447E-2</v>
      </c>
      <c r="G241" s="24">
        <f>'Rådata-K'!R240</f>
        <v>0.11128284389489954</v>
      </c>
      <c r="H241" s="24">
        <f>'Rådata-K'!S240</f>
        <v>0.18701700154559506</v>
      </c>
      <c r="I241" s="24">
        <f>'Rådata-K'!T240</f>
        <v>-0.17111459968602827</v>
      </c>
      <c r="J241" s="24">
        <f>'Rådata-K'!U240</f>
        <v>0.86764705882352944</v>
      </c>
      <c r="K241" s="24">
        <f>'Rådata-K'!L240</f>
        <v>360300</v>
      </c>
      <c r="L241" s="24">
        <f>Tabell2[[#This Row],[NIBR11]]</f>
        <v>9</v>
      </c>
      <c r="M241" s="24">
        <f>IF(Tabell2[[#This Row],[ReisetidOslo]]&lt;=C$434,C$434,IF(Tabell2[[#This Row],[ReisetidOslo]]&gt;=C$435,C$435,Tabell2[[#This Row],[ReisetidOslo]]))</f>
        <v>208.61666666669998</v>
      </c>
      <c r="N241" s="24">
        <f>IF(Tabell2[[#This Row],[Beftettland]]&lt;=D$434,D$434,IF(Tabell2[[#This Row],[Beftettland]]&gt;=D$435,D$435,Tabell2[[#This Row],[Beftettland]]))</f>
        <v>3.1481121058777735</v>
      </c>
      <c r="O241" s="24">
        <f>IF(Tabell2[[#This Row],[Beftettotal]]&lt;=E$434,E$434,IF(Tabell2[[#This Row],[Beftettotal]]&gt;=E$435,E$435,Tabell2[[#This Row],[Beftettotal]]))</f>
        <v>3.0116135638978752</v>
      </c>
      <c r="P241" s="24">
        <f>IF(Tabell2[[#This Row],[Befvekst10]]&lt;=F$434,F$434,IF(Tabell2[[#This Row],[Befvekst10]]&gt;=F$435,F$435,Tabell2[[#This Row],[Befvekst10]]))</f>
        <v>-7.1062862685144085E-2</v>
      </c>
      <c r="Q241" s="24">
        <f>IF(Tabell2[[#This Row],[Kvinneandel]]&lt;=G$434,G$434,IF(Tabell2[[#This Row],[Kvinneandel]]&gt;=G$435,G$435,Tabell2[[#This Row],[Kvinneandel]]))</f>
        <v>0.11128284389489954</v>
      </c>
      <c r="R241" s="24">
        <f>IF(Tabell2[[#This Row],[Eldreandel]]&lt;=H$434,H$434,IF(Tabell2[[#This Row],[Eldreandel]]&gt;=H$435,H$435,Tabell2[[#This Row],[Eldreandel]]))</f>
        <v>0.18701700154559506</v>
      </c>
      <c r="S241" s="24">
        <f>IF(Tabell2[[#This Row],[Sysselsettingsvekst10]]&lt;=I$434,I$434,IF(Tabell2[[#This Row],[Sysselsettingsvekst10]]&gt;=I$435,I$435,Tabell2[[#This Row],[Sysselsettingsvekst10]]))</f>
        <v>-9.2570207570207563E-2</v>
      </c>
      <c r="T241" s="24">
        <f>IF(Tabell2[[#This Row],[Yrkesaktivandel]]&lt;=J$434,J$434,IF(Tabell2[[#This Row],[Yrkesaktivandel]]&gt;=J$435,J$435,Tabell2[[#This Row],[Yrkesaktivandel]]))</f>
        <v>0.86764705882352944</v>
      </c>
      <c r="U241" s="24">
        <f>IF(Tabell2[[#This Row],[Inntekt]]&lt;=K$434,K$434,IF(Tabell2[[#This Row],[Inntekt]]&gt;=K$435,K$435,Tabell2[[#This Row],[Inntekt]]))</f>
        <v>360300</v>
      </c>
      <c r="V241" s="7">
        <f>IF(Tabell2[[#This Row],[NIBR11-T]]&lt;=L$437,100,IF(Tabell2[[#This Row],[NIBR11-T]]&gt;=L$436,0,100*(L$436-Tabell2[[#This Row],[NIBR11-T]])/L$439))</f>
        <v>20</v>
      </c>
      <c r="W241" s="7">
        <f>(M$436-Tabell2[[#This Row],[ReisetidOslo-T]])*100/M$439</f>
        <v>31.520292504562782</v>
      </c>
      <c r="X241" s="7">
        <f>100-(N$436-Tabell2[[#This Row],[Beftettland-T]])*100/N$439</f>
        <v>1.2912044647318197</v>
      </c>
      <c r="Y241" s="7">
        <f>100-(O$436-Tabell2[[#This Row],[Beftettotal-T]])*100/O$439</f>
        <v>1.2963087023212552</v>
      </c>
      <c r="Z241" s="7">
        <f>100-(P$436-Tabell2[[#This Row],[Befvekst10-T]])*100/P$439</f>
        <v>0</v>
      </c>
      <c r="AA241" s="7">
        <f>100-(Q$436-Tabell2[[#This Row],[Kvinneandel-T]])*100/Q$439</f>
        <v>57.167371219436006</v>
      </c>
      <c r="AB241" s="7">
        <f>(R$436-Tabell2[[#This Row],[Eldreandel-T]])*100/R$439</f>
        <v>35.952092747852973</v>
      </c>
      <c r="AC241" s="7">
        <f>100-(S$436-Tabell2[[#This Row],[Sysselsettingsvekst10-T]])*100/S$439</f>
        <v>0</v>
      </c>
      <c r="AD241" s="7">
        <f>100-(T$436-Tabell2[[#This Row],[Yrkesaktivandel-T]])*100/T$439</f>
        <v>48.497972912195898</v>
      </c>
      <c r="AE241" s="7">
        <f>100-(U$436-Tabell2[[#This Row],[Inntekt-T]])*100/U$439</f>
        <v>17.932513260354355</v>
      </c>
      <c r="AF241" s="7">
        <v>4</v>
      </c>
      <c r="AG241" s="7">
        <v>3.1520292504562786</v>
      </c>
      <c r="AH241" s="7">
        <v>0.12963087023212552</v>
      </c>
      <c r="AI241" s="7">
        <v>0</v>
      </c>
      <c r="AJ241" s="7">
        <v>2.8583685609718006</v>
      </c>
      <c r="AK241" s="7">
        <v>1.7976046373926486</v>
      </c>
      <c r="AL241" s="7">
        <v>0</v>
      </c>
      <c r="AM241" s="7">
        <v>4.8497972912195904</v>
      </c>
      <c r="AN241" s="7">
        <v>1.7932513260354357</v>
      </c>
      <c r="AO24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18.580681936307879</v>
      </c>
    </row>
    <row r="242" spans="1:41" x14ac:dyDescent="0.3">
      <c r="A242" s="2" t="s">
        <v>239</v>
      </c>
      <c r="B242">
        <f>'Rådata-K'!N241</f>
        <v>8</v>
      </c>
      <c r="C242" s="7">
        <f>'Rådata-K'!M241</f>
        <v>180.11666666669998</v>
      </c>
      <c r="D242" s="24">
        <f>'Rådata-K'!O241</f>
        <v>12.950856627592426</v>
      </c>
      <c r="E242" s="24">
        <f>'Rådata-K'!P241</f>
        <v>12.759578012215437</v>
      </c>
      <c r="F242" s="24">
        <f>'Rådata-K'!Q241</f>
        <v>4.5020463847203374E-2</v>
      </c>
      <c r="G242" s="24">
        <f>'Rådata-K'!R241</f>
        <v>0.10966057441253264</v>
      </c>
      <c r="H242" s="24">
        <f>'Rådata-K'!S241</f>
        <v>0.16927763272410792</v>
      </c>
      <c r="I242" s="24">
        <f>'Rådata-K'!T241</f>
        <v>0.29504327301337518</v>
      </c>
      <c r="J242" s="24">
        <f>'Rådata-K'!U241</f>
        <v>0.94061757719714967</v>
      </c>
      <c r="K242" s="24">
        <f>'Rådata-K'!L241</f>
        <v>419400</v>
      </c>
      <c r="L242" s="24">
        <f>Tabell2[[#This Row],[NIBR11]]</f>
        <v>8</v>
      </c>
      <c r="M242" s="24">
        <f>IF(Tabell2[[#This Row],[ReisetidOslo]]&lt;=C$434,C$434,IF(Tabell2[[#This Row],[ReisetidOslo]]&gt;=C$435,C$435,Tabell2[[#This Row],[ReisetidOslo]]))</f>
        <v>180.11666666669998</v>
      </c>
      <c r="N242" s="24">
        <f>IF(Tabell2[[#This Row],[Beftettland]]&lt;=D$434,D$434,IF(Tabell2[[#This Row],[Beftettland]]&gt;=D$435,D$435,Tabell2[[#This Row],[Beftettland]]))</f>
        <v>12.950856627592426</v>
      </c>
      <c r="O242" s="24">
        <f>IF(Tabell2[[#This Row],[Beftettotal]]&lt;=E$434,E$434,IF(Tabell2[[#This Row],[Beftettotal]]&gt;=E$435,E$435,Tabell2[[#This Row],[Beftettotal]]))</f>
        <v>12.759578012215437</v>
      </c>
      <c r="P242" s="24">
        <f>IF(Tabell2[[#This Row],[Befvekst10]]&lt;=F$434,F$434,IF(Tabell2[[#This Row],[Befvekst10]]&gt;=F$435,F$435,Tabell2[[#This Row],[Befvekst10]]))</f>
        <v>4.5020463847203374E-2</v>
      </c>
      <c r="Q242" s="24">
        <f>IF(Tabell2[[#This Row],[Kvinneandel]]&lt;=G$434,G$434,IF(Tabell2[[#This Row],[Kvinneandel]]&gt;=G$435,G$435,Tabell2[[#This Row],[Kvinneandel]]))</f>
        <v>0.10966057441253264</v>
      </c>
      <c r="R242" s="24">
        <f>IF(Tabell2[[#This Row],[Eldreandel]]&lt;=H$434,H$434,IF(Tabell2[[#This Row],[Eldreandel]]&gt;=H$435,H$435,Tabell2[[#This Row],[Eldreandel]]))</f>
        <v>0.16927763272410792</v>
      </c>
      <c r="S242" s="24">
        <f>IF(Tabell2[[#This Row],[Sysselsettingsvekst10]]&lt;=I$434,I$434,IF(Tabell2[[#This Row],[Sysselsettingsvekst10]]&gt;=I$435,I$435,Tabell2[[#This Row],[Sysselsettingsvekst10]]))</f>
        <v>0.21384805931725109</v>
      </c>
      <c r="T242" s="24">
        <f>IF(Tabell2[[#This Row],[Yrkesaktivandel]]&lt;=J$434,J$434,IF(Tabell2[[#This Row],[Yrkesaktivandel]]&gt;=J$435,J$435,Tabell2[[#This Row],[Yrkesaktivandel]]))</f>
        <v>0.94061757719714967</v>
      </c>
      <c r="U242" s="24">
        <f>IF(Tabell2[[#This Row],[Inntekt]]&lt;=K$434,K$434,IF(Tabell2[[#This Row],[Inntekt]]&gt;=K$435,K$435,Tabell2[[#This Row],[Inntekt]]))</f>
        <v>419400</v>
      </c>
      <c r="V242" s="7">
        <f>IF(Tabell2[[#This Row],[NIBR11-T]]&lt;=L$437,100,IF(Tabell2[[#This Row],[NIBR11-T]]&gt;=L$436,0,100*(L$436-Tabell2[[#This Row],[NIBR11-T]])/L$439))</f>
        <v>30</v>
      </c>
      <c r="W242" s="7">
        <f>(M$436-Tabell2[[#This Row],[ReisetidOslo-T]])*100/M$439</f>
        <v>44.024862888473749</v>
      </c>
      <c r="X242" s="7">
        <f>100-(N$436-Tabell2[[#This Row],[Beftettland-T]])*100/N$439</f>
        <v>8.5423312880946014</v>
      </c>
      <c r="Y242" s="7">
        <f>100-(O$436-Tabell2[[#This Row],[Beftettotal-T]])*100/O$439</f>
        <v>8.7577766258294929</v>
      </c>
      <c r="Z242" s="7">
        <f>100-(P$436-Tabell2[[#This Row],[Befvekst10-T]])*100/P$439</f>
        <v>46.986009335516513</v>
      </c>
      <c r="AA242" s="7">
        <f>100-(Q$436-Tabell2[[#This Row],[Kvinneandel-T]])*100/Q$439</f>
        <v>52.905582869055955</v>
      </c>
      <c r="AB242" s="7">
        <f>(R$436-Tabell2[[#This Row],[Eldreandel-T]])*100/R$439</f>
        <v>55.097392297887758</v>
      </c>
      <c r="AC242" s="7">
        <f>100-(S$436-Tabell2[[#This Row],[Sysselsettingsvekst10-T]])*100/S$439</f>
        <v>100</v>
      </c>
      <c r="AD242" s="7">
        <f>100-(T$436-Tabell2[[#This Row],[Yrkesaktivandel-T]])*100/T$439</f>
        <v>99.963628740873403</v>
      </c>
      <c r="AE242" s="7">
        <f>100-(U$436-Tabell2[[#This Row],[Inntekt-T]])*100/U$439</f>
        <v>84.629274348267685</v>
      </c>
      <c r="AF242" s="7">
        <v>6</v>
      </c>
      <c r="AG242" s="7">
        <v>4.402486288847375</v>
      </c>
      <c r="AH242" s="7">
        <v>0.87577766258294931</v>
      </c>
      <c r="AI242" s="7">
        <v>9.3972018671033037</v>
      </c>
      <c r="AJ242" s="7">
        <v>2.645279143452798</v>
      </c>
      <c r="AK242" s="7">
        <v>2.7548696148943881</v>
      </c>
      <c r="AL242" s="7">
        <v>10</v>
      </c>
      <c r="AM242" s="7">
        <v>9.9963628740873407</v>
      </c>
      <c r="AN242" s="7">
        <v>8.4629274348267689</v>
      </c>
      <c r="AO24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54.534904885794916</v>
      </c>
    </row>
    <row r="243" spans="1:41" x14ac:dyDescent="0.3">
      <c r="A243" s="2" t="s">
        <v>240</v>
      </c>
      <c r="B243">
        <f>'Rådata-K'!N242</f>
        <v>8</v>
      </c>
      <c r="C243" s="7">
        <f>'Rådata-K'!M242</f>
        <v>163.5833333333</v>
      </c>
      <c r="D243" s="24">
        <f>'Rådata-K'!O242</f>
        <v>10.650525800929323</v>
      </c>
      <c r="E243" s="24">
        <f>'Rådata-K'!P242</f>
        <v>10.510438035477254</v>
      </c>
      <c r="F243" s="24">
        <f>'Rådata-K'!Q242</f>
        <v>0.14672322995904041</v>
      </c>
      <c r="G243" s="24">
        <f>'Rådata-K'!R242</f>
        <v>0.14300293404771017</v>
      </c>
      <c r="H243" s="24">
        <f>'Rådata-K'!S242</f>
        <v>0.13981375175405025</v>
      </c>
      <c r="I243" s="24">
        <f>'Rådata-K'!T242</f>
        <v>0.17863671977017503</v>
      </c>
      <c r="J243" s="24">
        <f>'Rådata-K'!U242</f>
        <v>0.90770877944325479</v>
      </c>
      <c r="K243" s="24">
        <f>'Rådata-K'!L242</f>
        <v>384600</v>
      </c>
      <c r="L243" s="24">
        <f>Tabell2[[#This Row],[NIBR11]]</f>
        <v>8</v>
      </c>
      <c r="M243" s="24">
        <f>IF(Tabell2[[#This Row],[ReisetidOslo]]&lt;=C$434,C$434,IF(Tabell2[[#This Row],[ReisetidOslo]]&gt;=C$435,C$435,Tabell2[[#This Row],[ReisetidOslo]]))</f>
        <v>163.5833333333</v>
      </c>
      <c r="N243" s="24">
        <f>IF(Tabell2[[#This Row],[Beftettland]]&lt;=D$434,D$434,IF(Tabell2[[#This Row],[Beftettland]]&gt;=D$435,D$435,Tabell2[[#This Row],[Beftettland]]))</f>
        <v>10.650525800929323</v>
      </c>
      <c r="O243" s="24">
        <f>IF(Tabell2[[#This Row],[Beftettotal]]&lt;=E$434,E$434,IF(Tabell2[[#This Row],[Beftettotal]]&gt;=E$435,E$435,Tabell2[[#This Row],[Beftettotal]]))</f>
        <v>10.510438035477254</v>
      </c>
      <c r="P243" s="24">
        <f>IF(Tabell2[[#This Row],[Befvekst10]]&lt;=F$434,F$434,IF(Tabell2[[#This Row],[Befvekst10]]&gt;=F$435,F$435,Tabell2[[#This Row],[Befvekst10]]))</f>
        <v>0.14672322995904041</v>
      </c>
      <c r="Q243" s="24">
        <f>IF(Tabell2[[#This Row],[Kvinneandel]]&lt;=G$434,G$434,IF(Tabell2[[#This Row],[Kvinneandel]]&gt;=G$435,G$435,Tabell2[[#This Row],[Kvinneandel]]))</f>
        <v>0.12758728250318055</v>
      </c>
      <c r="R243" s="24">
        <f>IF(Tabell2[[#This Row],[Eldreandel]]&lt;=H$434,H$434,IF(Tabell2[[#This Row],[Eldreandel]]&gt;=H$435,H$435,Tabell2[[#This Row],[Eldreandel]]))</f>
        <v>0.13981375175405025</v>
      </c>
      <c r="S243" s="24">
        <f>IF(Tabell2[[#This Row],[Sysselsettingsvekst10]]&lt;=I$434,I$434,IF(Tabell2[[#This Row],[Sysselsettingsvekst10]]&gt;=I$435,I$435,Tabell2[[#This Row],[Sysselsettingsvekst10]]))</f>
        <v>0.17863671977017503</v>
      </c>
      <c r="T243" s="24">
        <f>IF(Tabell2[[#This Row],[Yrkesaktivandel]]&lt;=J$434,J$434,IF(Tabell2[[#This Row],[Yrkesaktivandel]]&gt;=J$435,J$435,Tabell2[[#This Row],[Yrkesaktivandel]]))</f>
        <v>0.90770877944325479</v>
      </c>
      <c r="U243" s="24">
        <f>IF(Tabell2[[#This Row],[Inntekt]]&lt;=K$434,K$434,IF(Tabell2[[#This Row],[Inntekt]]&gt;=K$435,K$435,Tabell2[[#This Row],[Inntekt]]))</f>
        <v>384600</v>
      </c>
      <c r="V243" s="7">
        <f>IF(Tabell2[[#This Row],[NIBR11-T]]&lt;=L$437,100,IF(Tabell2[[#This Row],[NIBR11-T]]&gt;=L$436,0,100*(L$436-Tabell2[[#This Row],[NIBR11-T]])/L$439))</f>
        <v>30</v>
      </c>
      <c r="W243" s="7">
        <f>(M$436-Tabell2[[#This Row],[ReisetidOslo-T]])*100/M$439</f>
        <v>51.278976234023268</v>
      </c>
      <c r="X243" s="7">
        <f>100-(N$436-Tabell2[[#This Row],[Beftettland-T]])*100/N$439</f>
        <v>6.8407679633669005</v>
      </c>
      <c r="Y243" s="7">
        <f>100-(O$436-Tabell2[[#This Row],[Beftettotal-T]])*100/O$439</f>
        <v>7.0361981485086602</v>
      </c>
      <c r="Z243" s="7">
        <f>100-(P$436-Tabell2[[#This Row],[Befvekst10-T]])*100/P$439</f>
        <v>88.151327910764579</v>
      </c>
      <c r="AA243" s="7">
        <f>100-(Q$436-Tabell2[[#This Row],[Kvinneandel-T]])*100/Q$439</f>
        <v>100</v>
      </c>
      <c r="AB243" s="7">
        <f>(R$436-Tabell2[[#This Row],[Eldreandel-T]])*100/R$439</f>
        <v>86.896428258798238</v>
      </c>
      <c r="AC243" s="7">
        <f>100-(S$436-Tabell2[[#This Row],[Sysselsettingsvekst10-T]])*100/S$439</f>
        <v>88.508733534476747</v>
      </c>
      <c r="AD243" s="7">
        <f>100-(T$436-Tabell2[[#This Row],[Yrkesaktivandel-T]])*100/T$439</f>
        <v>76.753256981341082</v>
      </c>
      <c r="AE243" s="7">
        <f>100-(U$436-Tabell2[[#This Row],[Inntekt-T]])*100/U$439</f>
        <v>45.356054621374561</v>
      </c>
      <c r="AF243" s="7">
        <v>6</v>
      </c>
      <c r="AG243" s="7">
        <v>5.127897623402327</v>
      </c>
      <c r="AH243" s="7">
        <v>0.70361981485086611</v>
      </c>
      <c r="AI243" s="7">
        <v>17.630265582152916</v>
      </c>
      <c r="AJ243" s="7">
        <v>5</v>
      </c>
      <c r="AK243" s="7">
        <v>4.3448214129399121</v>
      </c>
      <c r="AL243" s="7">
        <v>8.8508733534476747</v>
      </c>
      <c r="AM243" s="7">
        <v>7.6753256981341087</v>
      </c>
      <c r="AN243" s="7">
        <v>4.5356054621374566</v>
      </c>
      <c r="AO24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59.868408947065262</v>
      </c>
    </row>
    <row r="244" spans="1:41" x14ac:dyDescent="0.3">
      <c r="A244" s="2" t="s">
        <v>241</v>
      </c>
      <c r="B244">
        <f>'Rådata-K'!N243</f>
        <v>11</v>
      </c>
      <c r="C244" s="7">
        <f>'Rådata-K'!M243</f>
        <v>204.8166666667</v>
      </c>
      <c r="D244" s="24">
        <f>'Rådata-K'!O243</f>
        <v>1.280590058730009</v>
      </c>
      <c r="E244" s="24">
        <f>'Rådata-K'!P243</f>
        <v>1.2019623875715455</v>
      </c>
      <c r="F244" s="24">
        <f>'Rådata-K'!Q243</f>
        <v>1.7888055395268276E-2</v>
      </c>
      <c r="G244" s="24">
        <f>'Rådata-K'!R243</f>
        <v>0.12585034013605442</v>
      </c>
      <c r="H244" s="24">
        <f>'Rådata-K'!S243</f>
        <v>0.18367346938775511</v>
      </c>
      <c r="I244" s="24">
        <f>'Rådata-K'!T243</f>
        <v>4.020100502512558E-2</v>
      </c>
      <c r="J244" s="24">
        <f>'Rådata-K'!U243</f>
        <v>0.89581304771178194</v>
      </c>
      <c r="K244" s="24">
        <f>'Rådata-K'!L243</f>
        <v>377200</v>
      </c>
      <c r="L244" s="24">
        <f>Tabell2[[#This Row],[NIBR11]]</f>
        <v>11</v>
      </c>
      <c r="M244" s="24">
        <f>IF(Tabell2[[#This Row],[ReisetidOslo]]&lt;=C$434,C$434,IF(Tabell2[[#This Row],[ReisetidOslo]]&gt;=C$435,C$435,Tabell2[[#This Row],[ReisetidOslo]]))</f>
        <v>204.8166666667</v>
      </c>
      <c r="N244" s="24">
        <f>IF(Tabell2[[#This Row],[Beftettland]]&lt;=D$434,D$434,IF(Tabell2[[#This Row],[Beftettland]]&gt;=D$435,D$435,Tabell2[[#This Row],[Beftettland]]))</f>
        <v>1.4025423756281519</v>
      </c>
      <c r="O244" s="24">
        <f>IF(Tabell2[[#This Row],[Beftettotal]]&lt;=E$434,E$434,IF(Tabell2[[#This Row],[Beftettotal]]&gt;=E$435,E$435,Tabell2[[#This Row],[Beftettotal]]))</f>
        <v>1.3180632767674032</v>
      </c>
      <c r="P244" s="24">
        <f>IF(Tabell2[[#This Row],[Befvekst10]]&lt;=F$434,F$434,IF(Tabell2[[#This Row],[Befvekst10]]&gt;=F$435,F$435,Tabell2[[#This Row],[Befvekst10]]))</f>
        <v>1.7888055395268276E-2</v>
      </c>
      <c r="Q244" s="24">
        <f>IF(Tabell2[[#This Row],[Kvinneandel]]&lt;=G$434,G$434,IF(Tabell2[[#This Row],[Kvinneandel]]&gt;=G$435,G$435,Tabell2[[#This Row],[Kvinneandel]]))</f>
        <v>0.12585034013605442</v>
      </c>
      <c r="R244" s="24">
        <f>IF(Tabell2[[#This Row],[Eldreandel]]&lt;=H$434,H$434,IF(Tabell2[[#This Row],[Eldreandel]]&gt;=H$435,H$435,Tabell2[[#This Row],[Eldreandel]]))</f>
        <v>0.18367346938775511</v>
      </c>
      <c r="S244" s="24">
        <f>IF(Tabell2[[#This Row],[Sysselsettingsvekst10]]&lt;=I$434,I$434,IF(Tabell2[[#This Row],[Sysselsettingsvekst10]]&gt;=I$435,I$435,Tabell2[[#This Row],[Sysselsettingsvekst10]]))</f>
        <v>4.020100502512558E-2</v>
      </c>
      <c r="T244" s="24">
        <f>IF(Tabell2[[#This Row],[Yrkesaktivandel]]&lt;=J$434,J$434,IF(Tabell2[[#This Row],[Yrkesaktivandel]]&gt;=J$435,J$435,Tabell2[[#This Row],[Yrkesaktivandel]]))</f>
        <v>0.89581304771178194</v>
      </c>
      <c r="U244" s="24">
        <f>IF(Tabell2[[#This Row],[Inntekt]]&lt;=K$434,K$434,IF(Tabell2[[#This Row],[Inntekt]]&gt;=K$435,K$435,Tabell2[[#This Row],[Inntekt]]))</f>
        <v>377200</v>
      </c>
      <c r="V244" s="7">
        <f>IF(Tabell2[[#This Row],[NIBR11-T]]&lt;=L$437,100,IF(Tabell2[[#This Row],[NIBR11-T]]&gt;=L$436,0,100*(L$436-Tabell2[[#This Row],[NIBR11-T]])/L$439))</f>
        <v>0</v>
      </c>
      <c r="W244" s="7">
        <f>(M$436-Tabell2[[#This Row],[ReisetidOslo-T]])*100/M$439</f>
        <v>33.1875685557509</v>
      </c>
      <c r="X244" s="7">
        <f>100-(N$436-Tabell2[[#This Row],[Beftettland-T]])*100/N$439</f>
        <v>0</v>
      </c>
      <c r="Y244" s="7">
        <f>100-(O$436-Tabell2[[#This Row],[Beftettotal-T]])*100/O$439</f>
        <v>0</v>
      </c>
      <c r="Z244" s="7">
        <f>100-(P$436-Tabell2[[#This Row],[Befvekst10-T]])*100/P$439</f>
        <v>36.003867154551145</v>
      </c>
      <c r="AA244" s="7">
        <f>100-(Q$436-Tabell2[[#This Row],[Kvinneandel-T]])*100/Q$439</f>
        <v>95.436959872598081</v>
      </c>
      <c r="AB244" s="7">
        <f>(R$436-Tabell2[[#This Row],[Eldreandel-T]])*100/R$439</f>
        <v>39.560615991334053</v>
      </c>
      <c r="AC244" s="7">
        <f>100-(S$436-Tabell2[[#This Row],[Sysselsettingsvekst10-T]])*100/S$439</f>
        <v>43.330057944651635</v>
      </c>
      <c r="AD244" s="7">
        <f>100-(T$436-Tabell2[[#This Row],[Yrkesaktivandel-T]])*100/T$439</f>
        <v>68.363270877808276</v>
      </c>
      <c r="AE244" s="7">
        <f>100-(U$436-Tabell2[[#This Row],[Inntekt-T]])*100/U$439</f>
        <v>37.004852725426026</v>
      </c>
      <c r="AF244" s="7">
        <v>0</v>
      </c>
      <c r="AG244" s="7">
        <v>3.3187568555750904</v>
      </c>
      <c r="AH244" s="7">
        <v>0</v>
      </c>
      <c r="AI244" s="7">
        <v>7.2007734309102291</v>
      </c>
      <c r="AJ244" s="7">
        <v>4.7718479936299039</v>
      </c>
      <c r="AK244" s="7">
        <v>1.9780307995667028</v>
      </c>
      <c r="AL244" s="7">
        <v>4.3330057944651639</v>
      </c>
      <c r="AM244" s="7">
        <v>6.8363270877808278</v>
      </c>
      <c r="AN244" s="7">
        <v>3.7004852725426027</v>
      </c>
      <c r="AO24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32.139227234470525</v>
      </c>
    </row>
    <row r="245" spans="1:41" x14ac:dyDescent="0.3">
      <c r="A245" s="2" t="s">
        <v>242</v>
      </c>
      <c r="B245">
        <f>'Rådata-K'!N244</f>
        <v>9</v>
      </c>
      <c r="C245" s="7">
        <f>'Rådata-K'!M244</f>
        <v>179.5</v>
      </c>
      <c r="D245" s="24">
        <f>'Rådata-K'!O244</f>
        <v>1.7024345127055542</v>
      </c>
      <c r="E245" s="24">
        <f>'Rådata-K'!P244</f>
        <v>1.6179011977832072</v>
      </c>
      <c r="F245" s="24">
        <f>'Rådata-K'!Q244</f>
        <v>7.8886310904873191E-3</v>
      </c>
      <c r="G245" s="24">
        <f>'Rådata-K'!R244</f>
        <v>9.2541436464088397E-2</v>
      </c>
      <c r="H245" s="24">
        <f>'Rådata-K'!S244</f>
        <v>0.18922651933701656</v>
      </c>
      <c r="I245" s="24">
        <f>'Rådata-K'!T244</f>
        <v>2.3210831721470093E-2</v>
      </c>
      <c r="J245" s="24">
        <f>'Rådata-K'!U244</f>
        <v>0.92473118279569888</v>
      </c>
      <c r="K245" s="24">
        <f>'Rådata-K'!L244</f>
        <v>388300</v>
      </c>
      <c r="L245" s="24">
        <f>Tabell2[[#This Row],[NIBR11]]</f>
        <v>9</v>
      </c>
      <c r="M245" s="24">
        <f>IF(Tabell2[[#This Row],[ReisetidOslo]]&lt;=C$434,C$434,IF(Tabell2[[#This Row],[ReisetidOslo]]&gt;=C$435,C$435,Tabell2[[#This Row],[ReisetidOslo]]))</f>
        <v>179.5</v>
      </c>
      <c r="N245" s="24">
        <f>IF(Tabell2[[#This Row],[Beftettland]]&lt;=D$434,D$434,IF(Tabell2[[#This Row],[Beftettland]]&gt;=D$435,D$435,Tabell2[[#This Row],[Beftettland]]))</f>
        <v>1.7024345127055542</v>
      </c>
      <c r="O245" s="24">
        <f>IF(Tabell2[[#This Row],[Beftettotal]]&lt;=E$434,E$434,IF(Tabell2[[#This Row],[Beftettotal]]&gt;=E$435,E$435,Tabell2[[#This Row],[Beftettotal]]))</f>
        <v>1.6179011977832072</v>
      </c>
      <c r="P245" s="24">
        <f>IF(Tabell2[[#This Row],[Befvekst10]]&lt;=F$434,F$434,IF(Tabell2[[#This Row],[Befvekst10]]&gt;=F$435,F$435,Tabell2[[#This Row],[Befvekst10]]))</f>
        <v>7.8886310904873191E-3</v>
      </c>
      <c r="Q245" s="24">
        <f>IF(Tabell2[[#This Row],[Kvinneandel]]&lt;=G$434,G$434,IF(Tabell2[[#This Row],[Kvinneandel]]&gt;=G$435,G$435,Tabell2[[#This Row],[Kvinneandel]]))</f>
        <v>9.2541436464088397E-2</v>
      </c>
      <c r="R245" s="24">
        <f>IF(Tabell2[[#This Row],[Eldreandel]]&lt;=H$434,H$434,IF(Tabell2[[#This Row],[Eldreandel]]&gt;=H$435,H$435,Tabell2[[#This Row],[Eldreandel]]))</f>
        <v>0.18922651933701656</v>
      </c>
      <c r="S245" s="24">
        <f>IF(Tabell2[[#This Row],[Sysselsettingsvekst10]]&lt;=I$434,I$434,IF(Tabell2[[#This Row],[Sysselsettingsvekst10]]&gt;=I$435,I$435,Tabell2[[#This Row],[Sysselsettingsvekst10]]))</f>
        <v>2.3210831721470093E-2</v>
      </c>
      <c r="T245" s="24">
        <f>IF(Tabell2[[#This Row],[Yrkesaktivandel]]&lt;=J$434,J$434,IF(Tabell2[[#This Row],[Yrkesaktivandel]]&gt;=J$435,J$435,Tabell2[[#This Row],[Yrkesaktivandel]]))</f>
        <v>0.92473118279569888</v>
      </c>
      <c r="U245" s="24">
        <f>IF(Tabell2[[#This Row],[Inntekt]]&lt;=K$434,K$434,IF(Tabell2[[#This Row],[Inntekt]]&gt;=K$435,K$435,Tabell2[[#This Row],[Inntekt]]))</f>
        <v>388300</v>
      </c>
      <c r="V245" s="7">
        <f>IF(Tabell2[[#This Row],[NIBR11-T]]&lt;=L$437,100,IF(Tabell2[[#This Row],[NIBR11-T]]&gt;=L$436,0,100*(L$436-Tabell2[[#This Row],[NIBR11-T]])/L$439))</f>
        <v>20</v>
      </c>
      <c r="W245" s="7">
        <f>(M$436-Tabell2[[#This Row],[ReisetidOslo-T]])*100/M$439</f>
        <v>44.295429616093458</v>
      </c>
      <c r="X245" s="7">
        <f>100-(N$436-Tabell2[[#This Row],[Beftettland-T]])*100/N$439</f>
        <v>0.2218313365670781</v>
      </c>
      <c r="Y245" s="7">
        <f>100-(O$436-Tabell2[[#This Row],[Beftettotal-T]])*100/O$439</f>
        <v>0.22950750813386378</v>
      </c>
      <c r="Z245" s="7">
        <f>100-(P$436-Tabell2[[#This Row],[Befvekst10-T]])*100/P$439</f>
        <v>31.956489656256366</v>
      </c>
      <c r="AA245" s="7">
        <f>100-(Q$436-Tabell2[[#This Row],[Kvinneandel-T]])*100/Q$439</f>
        <v>7.9326955218916595</v>
      </c>
      <c r="AB245" s="7">
        <f>(R$436-Tabell2[[#This Row],[Eldreandel-T]])*100/R$439</f>
        <v>33.567459990984133</v>
      </c>
      <c r="AC245" s="7">
        <f>100-(S$436-Tabell2[[#This Row],[Sysselsettingsvekst10-T]])*100/S$439</f>
        <v>37.785292785498896</v>
      </c>
      <c r="AD245" s="7">
        <f>100-(T$436-Tabell2[[#This Row],[Yrkesaktivandel-T]])*100/T$439</f>
        <v>88.759052908789556</v>
      </c>
      <c r="AE245" s="7">
        <f>100-(U$436-Tabell2[[#This Row],[Inntekt-T]])*100/U$439</f>
        <v>49.531655569348835</v>
      </c>
      <c r="AF245" s="7">
        <v>4</v>
      </c>
      <c r="AG245" s="7">
        <v>4.4295429616093456</v>
      </c>
      <c r="AH245" s="7">
        <v>2.2950750813386378E-2</v>
      </c>
      <c r="AI245" s="7">
        <v>6.3912979312512732</v>
      </c>
      <c r="AJ245" s="7">
        <v>0.39663477609458297</v>
      </c>
      <c r="AK245" s="7">
        <v>1.6783729995492067</v>
      </c>
      <c r="AL245" s="7">
        <v>3.7785292785498896</v>
      </c>
      <c r="AM245" s="7">
        <v>8.875905290878956</v>
      </c>
      <c r="AN245" s="7">
        <v>4.9531655569348843</v>
      </c>
      <c r="AO24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34.526399545681528</v>
      </c>
    </row>
    <row r="246" spans="1:41" x14ac:dyDescent="0.3">
      <c r="A246" s="2" t="s">
        <v>243</v>
      </c>
      <c r="B246">
        <f>'Rådata-K'!N245</f>
        <v>9</v>
      </c>
      <c r="C246" s="7">
        <f>'Rådata-K'!M245</f>
        <v>192.23333333330001</v>
      </c>
      <c r="D246" s="24">
        <f>'Rådata-K'!O245</f>
        <v>5.7624895159035674</v>
      </c>
      <c r="E246" s="24">
        <f>'Rådata-K'!P245</f>
        <v>5.4877424375857622</v>
      </c>
      <c r="F246" s="24">
        <f>'Rådata-K'!Q245</f>
        <v>-3.4240403676338071E-2</v>
      </c>
      <c r="G246" s="24">
        <f>'Rådata-K'!R245</f>
        <v>0.1016980779996268</v>
      </c>
      <c r="H246" s="24">
        <f>'Rådata-K'!S245</f>
        <v>0.1933196491882814</v>
      </c>
      <c r="I246" s="24">
        <f>'Rådata-K'!T245</f>
        <v>-4.6626633698339859E-2</v>
      </c>
      <c r="J246" s="24">
        <f>'Rådata-K'!U245</f>
        <v>0.84747441399801915</v>
      </c>
      <c r="K246" s="24">
        <f>'Rådata-K'!L245</f>
        <v>396900</v>
      </c>
      <c r="L246" s="24">
        <f>Tabell2[[#This Row],[NIBR11]]</f>
        <v>9</v>
      </c>
      <c r="M246" s="24">
        <f>IF(Tabell2[[#This Row],[ReisetidOslo]]&lt;=C$434,C$434,IF(Tabell2[[#This Row],[ReisetidOslo]]&gt;=C$435,C$435,Tabell2[[#This Row],[ReisetidOslo]]))</f>
        <v>192.23333333330001</v>
      </c>
      <c r="N246" s="24">
        <f>IF(Tabell2[[#This Row],[Beftettland]]&lt;=D$434,D$434,IF(Tabell2[[#This Row],[Beftettland]]&gt;=D$435,D$435,Tabell2[[#This Row],[Beftettland]]))</f>
        <v>5.7624895159035674</v>
      </c>
      <c r="O246" s="24">
        <f>IF(Tabell2[[#This Row],[Beftettotal]]&lt;=E$434,E$434,IF(Tabell2[[#This Row],[Beftettotal]]&gt;=E$435,E$435,Tabell2[[#This Row],[Beftettotal]]))</f>
        <v>5.4877424375857622</v>
      </c>
      <c r="P246" s="24">
        <f>IF(Tabell2[[#This Row],[Befvekst10]]&lt;=F$434,F$434,IF(Tabell2[[#This Row],[Befvekst10]]&gt;=F$435,F$435,Tabell2[[#This Row],[Befvekst10]]))</f>
        <v>-3.4240403676338071E-2</v>
      </c>
      <c r="Q246" s="24">
        <f>IF(Tabell2[[#This Row],[Kvinneandel]]&lt;=G$434,G$434,IF(Tabell2[[#This Row],[Kvinneandel]]&gt;=G$435,G$435,Tabell2[[#This Row],[Kvinneandel]]))</f>
        <v>0.1016980779996268</v>
      </c>
      <c r="R246" s="24">
        <f>IF(Tabell2[[#This Row],[Eldreandel]]&lt;=H$434,H$434,IF(Tabell2[[#This Row],[Eldreandel]]&gt;=H$435,H$435,Tabell2[[#This Row],[Eldreandel]]))</f>
        <v>0.1933196491882814</v>
      </c>
      <c r="S246" s="24">
        <f>IF(Tabell2[[#This Row],[Sysselsettingsvekst10]]&lt;=I$434,I$434,IF(Tabell2[[#This Row],[Sysselsettingsvekst10]]&gt;=I$435,I$435,Tabell2[[#This Row],[Sysselsettingsvekst10]]))</f>
        <v>-4.6626633698339859E-2</v>
      </c>
      <c r="T246" s="24">
        <f>IF(Tabell2[[#This Row],[Yrkesaktivandel]]&lt;=J$434,J$434,IF(Tabell2[[#This Row],[Yrkesaktivandel]]&gt;=J$435,J$435,Tabell2[[#This Row],[Yrkesaktivandel]]))</f>
        <v>0.84747441399801915</v>
      </c>
      <c r="U246" s="24">
        <f>IF(Tabell2[[#This Row],[Inntekt]]&lt;=K$434,K$434,IF(Tabell2[[#This Row],[Inntekt]]&gt;=K$435,K$435,Tabell2[[#This Row],[Inntekt]]))</f>
        <v>396900</v>
      </c>
      <c r="V246" s="7">
        <f>IF(Tabell2[[#This Row],[NIBR11-T]]&lt;=L$437,100,IF(Tabell2[[#This Row],[NIBR11-T]]&gt;=L$436,0,100*(L$436-Tabell2[[#This Row],[NIBR11-T]])/L$439))</f>
        <v>20</v>
      </c>
      <c r="W246" s="7">
        <f>(M$436-Tabell2[[#This Row],[ReisetidOslo-T]])*100/M$439</f>
        <v>38.708592321775924</v>
      </c>
      <c r="X246" s="7">
        <f>100-(N$436-Tabell2[[#This Row],[Beftettland-T]])*100/N$439</f>
        <v>3.2250692229368951</v>
      </c>
      <c r="Y246" s="7">
        <f>100-(O$436-Tabell2[[#This Row],[Beftettotal-T]])*100/O$439</f>
        <v>3.1916332352993777</v>
      </c>
      <c r="Z246" s="7">
        <f>100-(P$436-Tabell2[[#This Row],[Befvekst10-T]])*100/P$439</f>
        <v>14.904297235678513</v>
      </c>
      <c r="AA246" s="7">
        <f>100-(Q$436-Tabell2[[#This Row],[Kvinneandel-T]])*100/Q$439</f>
        <v>31.987680620808831</v>
      </c>
      <c r="AB246" s="7">
        <f>(R$436-Tabell2[[#This Row],[Eldreandel-T]])*100/R$439</f>
        <v>29.149929813431562</v>
      </c>
      <c r="AC246" s="7">
        <f>100-(S$436-Tabell2[[#This Row],[Sysselsettingsvekst10-T]])*100/S$439</f>
        <v>14.993745098343595</v>
      </c>
      <c r="AD246" s="7">
        <f>100-(T$436-Tabell2[[#This Row],[Yrkesaktivandel-T]])*100/T$439</f>
        <v>34.270331134620321</v>
      </c>
      <c r="AE246" s="7">
        <f>100-(U$436-Tabell2[[#This Row],[Inntekt-T]])*100/U$439</f>
        <v>59.237106421397137</v>
      </c>
      <c r="AF246" s="7">
        <v>4</v>
      </c>
      <c r="AG246" s="7">
        <v>3.8708592321775925</v>
      </c>
      <c r="AH246" s="7">
        <v>0.31916332352993781</v>
      </c>
      <c r="AI246" s="7">
        <v>2.9808594471357028</v>
      </c>
      <c r="AJ246" s="7">
        <v>1.5993840310404417</v>
      </c>
      <c r="AK246" s="7">
        <v>1.4574964906715782</v>
      </c>
      <c r="AL246" s="7">
        <v>1.4993745098343596</v>
      </c>
      <c r="AM246" s="7">
        <v>3.4270331134620324</v>
      </c>
      <c r="AN246" s="7">
        <v>5.9237106421397137</v>
      </c>
      <c r="AO24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25.077880789991358</v>
      </c>
    </row>
    <row r="247" spans="1:41" x14ac:dyDescent="0.3">
      <c r="A247" s="2" t="s">
        <v>244</v>
      </c>
      <c r="B247">
        <f>'Rådata-K'!N246</f>
        <v>8</v>
      </c>
      <c r="C247" s="7">
        <f>'Rådata-K'!M246</f>
        <v>183.9</v>
      </c>
      <c r="D247" s="24">
        <f>'Rådata-K'!O246</f>
        <v>1.9583339741913655</v>
      </c>
      <c r="E247" s="24">
        <f>'Rådata-K'!P246</f>
        <v>1.8819608161938055</v>
      </c>
      <c r="F247" s="24">
        <f>'Rådata-K'!Q246</f>
        <v>4.1726324401718085E-2</v>
      </c>
      <c r="G247" s="24">
        <f>'Rådata-K'!R246</f>
        <v>0.11211466719026114</v>
      </c>
      <c r="H247" s="24">
        <f>'Rådata-K'!S246</f>
        <v>0.17789122324759474</v>
      </c>
      <c r="I247" s="24">
        <f>'Rådata-K'!T246</f>
        <v>4.4140830267997977E-2</v>
      </c>
      <c r="J247" s="24">
        <f>'Rådata-K'!U246</f>
        <v>0.93866571018651368</v>
      </c>
      <c r="K247" s="24">
        <f>'Rådata-K'!L246</f>
        <v>369300</v>
      </c>
      <c r="L247" s="24">
        <f>Tabell2[[#This Row],[NIBR11]]</f>
        <v>8</v>
      </c>
      <c r="M247" s="24">
        <f>IF(Tabell2[[#This Row],[ReisetidOslo]]&lt;=C$434,C$434,IF(Tabell2[[#This Row],[ReisetidOslo]]&gt;=C$435,C$435,Tabell2[[#This Row],[ReisetidOslo]]))</f>
        <v>183.9</v>
      </c>
      <c r="N247" s="24">
        <f>IF(Tabell2[[#This Row],[Beftettland]]&lt;=D$434,D$434,IF(Tabell2[[#This Row],[Beftettland]]&gt;=D$435,D$435,Tabell2[[#This Row],[Beftettland]]))</f>
        <v>1.9583339741913655</v>
      </c>
      <c r="O247" s="24">
        <f>IF(Tabell2[[#This Row],[Beftettotal]]&lt;=E$434,E$434,IF(Tabell2[[#This Row],[Beftettotal]]&gt;=E$435,E$435,Tabell2[[#This Row],[Beftettotal]]))</f>
        <v>1.8819608161938055</v>
      </c>
      <c r="P247" s="24">
        <f>IF(Tabell2[[#This Row],[Befvekst10]]&lt;=F$434,F$434,IF(Tabell2[[#This Row],[Befvekst10]]&gt;=F$435,F$435,Tabell2[[#This Row],[Befvekst10]]))</f>
        <v>4.1726324401718085E-2</v>
      </c>
      <c r="Q247" s="24">
        <f>IF(Tabell2[[#This Row],[Kvinneandel]]&lt;=G$434,G$434,IF(Tabell2[[#This Row],[Kvinneandel]]&gt;=G$435,G$435,Tabell2[[#This Row],[Kvinneandel]]))</f>
        <v>0.11211466719026114</v>
      </c>
      <c r="R247" s="24">
        <f>IF(Tabell2[[#This Row],[Eldreandel]]&lt;=H$434,H$434,IF(Tabell2[[#This Row],[Eldreandel]]&gt;=H$435,H$435,Tabell2[[#This Row],[Eldreandel]]))</f>
        <v>0.17789122324759474</v>
      </c>
      <c r="S247" s="24">
        <f>IF(Tabell2[[#This Row],[Sysselsettingsvekst10]]&lt;=I$434,I$434,IF(Tabell2[[#This Row],[Sysselsettingsvekst10]]&gt;=I$435,I$435,Tabell2[[#This Row],[Sysselsettingsvekst10]]))</f>
        <v>4.4140830267997977E-2</v>
      </c>
      <c r="T247" s="24">
        <f>IF(Tabell2[[#This Row],[Yrkesaktivandel]]&lt;=J$434,J$434,IF(Tabell2[[#This Row],[Yrkesaktivandel]]&gt;=J$435,J$435,Tabell2[[#This Row],[Yrkesaktivandel]]))</f>
        <v>0.93866571018651368</v>
      </c>
      <c r="U247" s="24">
        <f>IF(Tabell2[[#This Row],[Inntekt]]&lt;=K$434,K$434,IF(Tabell2[[#This Row],[Inntekt]]&gt;=K$435,K$435,Tabell2[[#This Row],[Inntekt]]))</f>
        <v>369300</v>
      </c>
      <c r="V247" s="7">
        <f>IF(Tabell2[[#This Row],[NIBR11-T]]&lt;=L$437,100,IF(Tabell2[[#This Row],[NIBR11-T]]&gt;=L$436,0,100*(L$436-Tabell2[[#This Row],[NIBR11-T]])/L$439))</f>
        <v>30</v>
      </c>
      <c r="W247" s="7">
        <f>(M$436-Tabell2[[#This Row],[ReisetidOslo-T]])*100/M$439</f>
        <v>42.364899451559829</v>
      </c>
      <c r="X247" s="7">
        <f>100-(N$436-Tabell2[[#This Row],[Beftettland-T]])*100/N$439</f>
        <v>0.41112112629417652</v>
      </c>
      <c r="Y247" s="7">
        <f>100-(O$436-Tabell2[[#This Row],[Beftettotal-T]])*100/O$439</f>
        <v>0.43162892364688332</v>
      </c>
      <c r="Z247" s="7">
        <f>100-(P$436-Tabell2[[#This Row],[Befvekst10-T]])*100/P$439</f>
        <v>45.652669989017561</v>
      </c>
      <c r="AA247" s="7">
        <f>100-(Q$436-Tabell2[[#This Row],[Kvinneandel-T]])*100/Q$439</f>
        <v>59.352615328555657</v>
      </c>
      <c r="AB247" s="7">
        <f>(R$436-Tabell2[[#This Row],[Eldreandel-T]])*100/R$439</f>
        <v>45.801133088611607</v>
      </c>
      <c r="AC247" s="7">
        <f>100-(S$436-Tabell2[[#This Row],[Sysselsettingsvekst10-T]])*100/S$439</f>
        <v>44.615825037747115</v>
      </c>
      <c r="AD247" s="7">
        <f>100-(T$436-Tabell2[[#This Row],[Yrkesaktivandel-T]])*100/T$439</f>
        <v>98.586988996060285</v>
      </c>
      <c r="AE247" s="7">
        <f>100-(U$436-Tabell2[[#This Row],[Inntekt-T]])*100/U$439</f>
        <v>28.089380431102583</v>
      </c>
      <c r="AF247" s="7">
        <v>6</v>
      </c>
      <c r="AG247" s="7">
        <v>4.2364899451559834</v>
      </c>
      <c r="AH247" s="7">
        <v>4.3162892364688336E-2</v>
      </c>
      <c r="AI247" s="7">
        <v>9.1305339978035125</v>
      </c>
      <c r="AJ247" s="7">
        <v>2.9676307664277832</v>
      </c>
      <c r="AK247" s="7">
        <v>2.2900566544305803</v>
      </c>
      <c r="AL247" s="7">
        <v>4.4615825037747117</v>
      </c>
      <c r="AM247" s="7">
        <v>9.8586988996060292</v>
      </c>
      <c r="AN247" s="7">
        <v>2.8089380431102584</v>
      </c>
      <c r="AO24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41.797093702673543</v>
      </c>
    </row>
    <row r="248" spans="1:41" x14ac:dyDescent="0.3">
      <c r="A248" s="2" t="s">
        <v>245</v>
      </c>
      <c r="B248">
        <f>'Rådata-K'!N247</f>
        <v>8</v>
      </c>
      <c r="C248" s="7">
        <f>'Rådata-K'!M247</f>
        <v>196.4</v>
      </c>
      <c r="D248" s="24">
        <f>'Rådata-K'!O247</f>
        <v>9.6532124153787198</v>
      </c>
      <c r="E248" s="24">
        <f>'Rådata-K'!P247</f>
        <v>9.2681730385995031</v>
      </c>
      <c r="F248" s="24">
        <f>'Rådata-K'!Q247</f>
        <v>-4.9968573224387192E-2</v>
      </c>
      <c r="G248" s="24">
        <f>'Rådata-K'!R247</f>
        <v>9.5269599735362226E-2</v>
      </c>
      <c r="H248" s="24">
        <f>'Rådata-K'!S247</f>
        <v>0.21832616606020511</v>
      </c>
      <c r="I248" s="24">
        <f>'Rådata-K'!T247</f>
        <v>-7.7824267782426793E-2</v>
      </c>
      <c r="J248" s="24">
        <f>'Rådata-K'!U247</f>
        <v>0.92278238672622848</v>
      </c>
      <c r="K248" s="24">
        <f>'Rådata-K'!L247</f>
        <v>370300</v>
      </c>
      <c r="L248" s="24">
        <f>Tabell2[[#This Row],[NIBR11]]</f>
        <v>8</v>
      </c>
      <c r="M248" s="24">
        <f>IF(Tabell2[[#This Row],[ReisetidOslo]]&lt;=C$434,C$434,IF(Tabell2[[#This Row],[ReisetidOslo]]&gt;=C$435,C$435,Tabell2[[#This Row],[ReisetidOslo]]))</f>
        <v>196.4</v>
      </c>
      <c r="N248" s="24">
        <f>IF(Tabell2[[#This Row],[Beftettland]]&lt;=D$434,D$434,IF(Tabell2[[#This Row],[Beftettland]]&gt;=D$435,D$435,Tabell2[[#This Row],[Beftettland]]))</f>
        <v>9.6532124153787198</v>
      </c>
      <c r="O248" s="24">
        <f>IF(Tabell2[[#This Row],[Beftettotal]]&lt;=E$434,E$434,IF(Tabell2[[#This Row],[Beftettotal]]&gt;=E$435,E$435,Tabell2[[#This Row],[Beftettotal]]))</f>
        <v>9.2681730385995031</v>
      </c>
      <c r="P248" s="24">
        <f>IF(Tabell2[[#This Row],[Befvekst10]]&lt;=F$434,F$434,IF(Tabell2[[#This Row],[Befvekst10]]&gt;=F$435,F$435,Tabell2[[#This Row],[Befvekst10]]))</f>
        <v>-4.9968573224387192E-2</v>
      </c>
      <c r="Q248" s="24">
        <f>IF(Tabell2[[#This Row],[Kvinneandel]]&lt;=G$434,G$434,IF(Tabell2[[#This Row],[Kvinneandel]]&gt;=G$435,G$435,Tabell2[[#This Row],[Kvinneandel]]))</f>
        <v>9.5269599735362226E-2</v>
      </c>
      <c r="R248" s="24">
        <f>IF(Tabell2[[#This Row],[Eldreandel]]&lt;=H$434,H$434,IF(Tabell2[[#This Row],[Eldreandel]]&gt;=H$435,H$435,Tabell2[[#This Row],[Eldreandel]]))</f>
        <v>0.21832616606020511</v>
      </c>
      <c r="S248" s="24">
        <f>IF(Tabell2[[#This Row],[Sysselsettingsvekst10]]&lt;=I$434,I$434,IF(Tabell2[[#This Row],[Sysselsettingsvekst10]]&gt;=I$435,I$435,Tabell2[[#This Row],[Sysselsettingsvekst10]]))</f>
        <v>-7.7824267782426793E-2</v>
      </c>
      <c r="T248" s="24">
        <f>IF(Tabell2[[#This Row],[Yrkesaktivandel]]&lt;=J$434,J$434,IF(Tabell2[[#This Row],[Yrkesaktivandel]]&gt;=J$435,J$435,Tabell2[[#This Row],[Yrkesaktivandel]]))</f>
        <v>0.92278238672622848</v>
      </c>
      <c r="U248" s="24">
        <f>IF(Tabell2[[#This Row],[Inntekt]]&lt;=K$434,K$434,IF(Tabell2[[#This Row],[Inntekt]]&gt;=K$435,K$435,Tabell2[[#This Row],[Inntekt]]))</f>
        <v>370300</v>
      </c>
      <c r="V248" s="7">
        <f>IF(Tabell2[[#This Row],[NIBR11-T]]&lt;=L$437,100,IF(Tabell2[[#This Row],[NIBR11-T]]&gt;=L$436,0,100*(L$436-Tabell2[[#This Row],[NIBR11-T]])/L$439))</f>
        <v>30</v>
      </c>
      <c r="W248" s="7">
        <f>(M$436-Tabell2[[#This Row],[ReisetidOslo-T]])*100/M$439</f>
        <v>36.880438756862034</v>
      </c>
      <c r="X248" s="7">
        <f>100-(N$436-Tabell2[[#This Row],[Beftettland-T]])*100/N$439</f>
        <v>6.1030515182177396</v>
      </c>
      <c r="Y248" s="7">
        <f>100-(O$436-Tabell2[[#This Row],[Beftettotal-T]])*100/O$439</f>
        <v>6.0853206113731915</v>
      </c>
      <c r="Z248" s="7">
        <f>100-(P$436-Tabell2[[#This Row],[Befvekst10-T]])*100/P$439</f>
        <v>8.5381467876269426</v>
      </c>
      <c r="AA248" s="7">
        <f>100-(Q$436-Tabell2[[#This Row],[Kvinneandel-T]])*100/Q$439</f>
        <v>15.099725767992297</v>
      </c>
      <c r="AB248" s="7">
        <f>(R$436-Tabell2[[#This Row],[Eldreandel-T]])*100/R$439</f>
        <v>2.1615256016608124</v>
      </c>
      <c r="AC248" s="7">
        <f>100-(S$436-Tabell2[[#This Row],[Sysselsettingsvekst10-T]])*100/S$439</f>
        <v>4.8123566318572841</v>
      </c>
      <c r="AD248" s="7">
        <f>100-(T$436-Tabell2[[#This Row],[Yrkesaktivandel-T]])*100/T$439</f>
        <v>87.384579079809583</v>
      </c>
      <c r="AE248" s="7">
        <f>100-(U$436-Tabell2[[#This Row],[Inntekt-T]])*100/U$439</f>
        <v>29.217921227852386</v>
      </c>
      <c r="AF248" s="7">
        <v>6</v>
      </c>
      <c r="AG248" s="7">
        <v>3.6880438756862035</v>
      </c>
      <c r="AH248" s="7">
        <v>0.60853206113731917</v>
      </c>
      <c r="AI248" s="7">
        <v>1.7076293575253887</v>
      </c>
      <c r="AJ248" s="7">
        <v>0.7549862883996149</v>
      </c>
      <c r="AK248" s="7">
        <v>0.10807628008304063</v>
      </c>
      <c r="AL248" s="7">
        <v>0.48123566318572841</v>
      </c>
      <c r="AM248" s="7">
        <v>8.7384579079809583</v>
      </c>
      <c r="AN248" s="7">
        <v>2.9217921227852388</v>
      </c>
      <c r="AO24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25.008753556783489</v>
      </c>
    </row>
    <row r="249" spans="1:41" x14ac:dyDescent="0.3">
      <c r="A249" s="2" t="s">
        <v>246</v>
      </c>
      <c r="B249">
        <f>'Rådata-K'!N248</f>
        <v>6</v>
      </c>
      <c r="C249" s="7">
        <f>'Rådata-K'!M248</f>
        <v>179.05</v>
      </c>
      <c r="D249" s="24">
        <f>'Rådata-K'!O248</f>
        <v>7.2590160570461189</v>
      </c>
      <c r="E249" s="24">
        <f>'Rådata-K'!P248</f>
        <v>6.7945547525869729</v>
      </c>
      <c r="F249" s="24">
        <f>'Rådata-K'!Q248</f>
        <v>-1.7702186740714998E-2</v>
      </c>
      <c r="G249" s="24">
        <f>'Rådata-K'!R248</f>
        <v>0.10530035335689046</v>
      </c>
      <c r="H249" s="24">
        <f>'Rådata-K'!S248</f>
        <v>0.19399293286219083</v>
      </c>
      <c r="I249" s="24">
        <f>'Rådata-K'!T248</f>
        <v>8.8412017167381896E-2</v>
      </c>
      <c r="J249" s="24">
        <f>'Rådata-K'!U248</f>
        <v>0.94758909853249473</v>
      </c>
      <c r="K249" s="24">
        <f>'Rådata-K'!L248</f>
        <v>346400</v>
      </c>
      <c r="L249" s="24">
        <f>Tabell2[[#This Row],[NIBR11]]</f>
        <v>6</v>
      </c>
      <c r="M249" s="24">
        <f>IF(Tabell2[[#This Row],[ReisetidOslo]]&lt;=C$434,C$434,IF(Tabell2[[#This Row],[ReisetidOslo]]&gt;=C$435,C$435,Tabell2[[#This Row],[ReisetidOslo]]))</f>
        <v>179.05</v>
      </c>
      <c r="N249" s="24">
        <f>IF(Tabell2[[#This Row],[Beftettland]]&lt;=D$434,D$434,IF(Tabell2[[#This Row],[Beftettland]]&gt;=D$435,D$435,Tabell2[[#This Row],[Beftettland]]))</f>
        <v>7.2590160570461189</v>
      </c>
      <c r="O249" s="24">
        <f>IF(Tabell2[[#This Row],[Beftettotal]]&lt;=E$434,E$434,IF(Tabell2[[#This Row],[Beftettotal]]&gt;=E$435,E$435,Tabell2[[#This Row],[Beftettotal]]))</f>
        <v>6.7945547525869729</v>
      </c>
      <c r="P249" s="24">
        <f>IF(Tabell2[[#This Row],[Befvekst10]]&lt;=F$434,F$434,IF(Tabell2[[#This Row],[Befvekst10]]&gt;=F$435,F$435,Tabell2[[#This Row],[Befvekst10]]))</f>
        <v>-1.7702186740714998E-2</v>
      </c>
      <c r="Q249" s="24">
        <f>IF(Tabell2[[#This Row],[Kvinneandel]]&lt;=G$434,G$434,IF(Tabell2[[#This Row],[Kvinneandel]]&gt;=G$435,G$435,Tabell2[[#This Row],[Kvinneandel]]))</f>
        <v>0.10530035335689046</v>
      </c>
      <c r="R249" s="24">
        <f>IF(Tabell2[[#This Row],[Eldreandel]]&lt;=H$434,H$434,IF(Tabell2[[#This Row],[Eldreandel]]&gt;=H$435,H$435,Tabell2[[#This Row],[Eldreandel]]))</f>
        <v>0.19399293286219083</v>
      </c>
      <c r="S249" s="24">
        <f>IF(Tabell2[[#This Row],[Sysselsettingsvekst10]]&lt;=I$434,I$434,IF(Tabell2[[#This Row],[Sysselsettingsvekst10]]&gt;=I$435,I$435,Tabell2[[#This Row],[Sysselsettingsvekst10]]))</f>
        <v>8.8412017167381896E-2</v>
      </c>
      <c r="T249" s="24">
        <f>IF(Tabell2[[#This Row],[Yrkesaktivandel]]&lt;=J$434,J$434,IF(Tabell2[[#This Row],[Yrkesaktivandel]]&gt;=J$435,J$435,Tabell2[[#This Row],[Yrkesaktivandel]]))</f>
        <v>0.94066914614326791</v>
      </c>
      <c r="U249" s="24">
        <f>IF(Tabell2[[#This Row],[Inntekt]]&lt;=K$434,K$434,IF(Tabell2[[#This Row],[Inntekt]]&gt;=K$435,K$435,Tabell2[[#This Row],[Inntekt]]))</f>
        <v>346400</v>
      </c>
      <c r="V249" s="7">
        <f>IF(Tabell2[[#This Row],[NIBR11-T]]&lt;=L$437,100,IF(Tabell2[[#This Row],[NIBR11-T]]&gt;=L$436,0,100*(L$436-Tabell2[[#This Row],[NIBR11-T]])/L$439))</f>
        <v>50</v>
      </c>
      <c r="W249" s="7">
        <f>(M$436-Tabell2[[#This Row],[ReisetidOslo-T]])*100/M$439</f>
        <v>44.492870201102569</v>
      </c>
      <c r="X249" s="7">
        <f>100-(N$436-Tabell2[[#This Row],[Beftettland-T]])*100/N$439</f>
        <v>4.3320555082894572</v>
      </c>
      <c r="Y249" s="7">
        <f>100-(O$436-Tabell2[[#This Row],[Beftettotal-T]])*100/O$439</f>
        <v>4.1919177790237825</v>
      </c>
      <c r="Z249" s="7">
        <f>100-(P$436-Tabell2[[#This Row],[Befvekst10-T]])*100/P$439</f>
        <v>21.59832331627544</v>
      </c>
      <c r="AA249" s="7">
        <f>100-(Q$436-Tabell2[[#This Row],[Kvinneandel-T]])*100/Q$439</f>
        <v>41.451049881783071</v>
      </c>
      <c r="AB249" s="7">
        <f>(R$436-Tabell2[[#This Row],[Eldreandel-T]])*100/R$439</f>
        <v>28.42328515381265</v>
      </c>
      <c r="AC249" s="7">
        <f>100-(S$436-Tabell2[[#This Row],[Sysselsettingsvekst10-T]])*100/S$439</f>
        <v>59.063784472111983</v>
      </c>
      <c r="AD249" s="7">
        <f>100-(T$436-Tabell2[[#This Row],[Yrkesaktivandel-T]])*100/T$439</f>
        <v>100</v>
      </c>
      <c r="AE249" s="7">
        <f>100-(U$436-Tabell2[[#This Row],[Inntekt-T]])*100/U$439</f>
        <v>2.2457961855321003</v>
      </c>
      <c r="AF249" s="7">
        <v>10</v>
      </c>
      <c r="AG249" s="7">
        <v>4.4492870201102575</v>
      </c>
      <c r="AH249" s="7">
        <v>0.41919177790237827</v>
      </c>
      <c r="AI249" s="7">
        <v>4.3196646632550886</v>
      </c>
      <c r="AJ249" s="7">
        <v>2.0725524940891535</v>
      </c>
      <c r="AK249" s="7">
        <v>1.4211642576906325</v>
      </c>
      <c r="AL249" s="7">
        <v>5.9063784472111989</v>
      </c>
      <c r="AM249" s="7">
        <v>10</v>
      </c>
      <c r="AN249" s="7">
        <v>0.22457961855321004</v>
      </c>
      <c r="AO24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38.812818278811918</v>
      </c>
    </row>
    <row r="250" spans="1:41" x14ac:dyDescent="0.3">
      <c r="A250" s="2" t="s">
        <v>247</v>
      </c>
      <c r="B250">
        <f>'Rådata-K'!N249</f>
        <v>6</v>
      </c>
      <c r="C250" s="7">
        <f>'Rådata-K'!M249</f>
        <v>167.6</v>
      </c>
      <c r="D250" s="24">
        <f>'Rådata-K'!O249</f>
        <v>5.4585598456314823</v>
      </c>
      <c r="E250" s="24">
        <f>'Rådata-K'!P249</f>
        <v>5.0565466982915677</v>
      </c>
      <c r="F250" s="24">
        <f>'Rådata-K'!Q249</f>
        <v>6.1710573800072277E-2</v>
      </c>
      <c r="G250" s="24">
        <f>'Rådata-K'!R249</f>
        <v>0.11114887831407207</v>
      </c>
      <c r="H250" s="24">
        <f>'Rådata-K'!S249</f>
        <v>0.15601631543167913</v>
      </c>
      <c r="I250" s="24">
        <f>'Rådata-K'!T249</f>
        <v>1.3771186440677985E-2</v>
      </c>
      <c r="J250" s="24">
        <f>'Rådata-K'!U249</f>
        <v>0.94208256315465189</v>
      </c>
      <c r="K250" s="24">
        <f>'Rådata-K'!L249</f>
        <v>380400</v>
      </c>
      <c r="L250" s="24">
        <f>Tabell2[[#This Row],[NIBR11]]</f>
        <v>6</v>
      </c>
      <c r="M250" s="24">
        <f>IF(Tabell2[[#This Row],[ReisetidOslo]]&lt;=C$434,C$434,IF(Tabell2[[#This Row],[ReisetidOslo]]&gt;=C$435,C$435,Tabell2[[#This Row],[ReisetidOslo]]))</f>
        <v>167.6</v>
      </c>
      <c r="N250" s="24">
        <f>IF(Tabell2[[#This Row],[Beftettland]]&lt;=D$434,D$434,IF(Tabell2[[#This Row],[Beftettland]]&gt;=D$435,D$435,Tabell2[[#This Row],[Beftettland]]))</f>
        <v>5.4585598456314823</v>
      </c>
      <c r="O250" s="24">
        <f>IF(Tabell2[[#This Row],[Beftettotal]]&lt;=E$434,E$434,IF(Tabell2[[#This Row],[Beftettotal]]&gt;=E$435,E$435,Tabell2[[#This Row],[Beftettotal]]))</f>
        <v>5.0565466982915677</v>
      </c>
      <c r="P250" s="24">
        <f>IF(Tabell2[[#This Row],[Befvekst10]]&lt;=F$434,F$434,IF(Tabell2[[#This Row],[Befvekst10]]&gt;=F$435,F$435,Tabell2[[#This Row],[Befvekst10]]))</f>
        <v>6.1710573800072277E-2</v>
      </c>
      <c r="Q250" s="24">
        <f>IF(Tabell2[[#This Row],[Kvinneandel]]&lt;=G$434,G$434,IF(Tabell2[[#This Row],[Kvinneandel]]&gt;=G$435,G$435,Tabell2[[#This Row],[Kvinneandel]]))</f>
        <v>0.11114887831407207</v>
      </c>
      <c r="R250" s="24">
        <f>IF(Tabell2[[#This Row],[Eldreandel]]&lt;=H$434,H$434,IF(Tabell2[[#This Row],[Eldreandel]]&gt;=H$435,H$435,Tabell2[[#This Row],[Eldreandel]]))</f>
        <v>0.15601631543167913</v>
      </c>
      <c r="S250" s="24">
        <f>IF(Tabell2[[#This Row],[Sysselsettingsvekst10]]&lt;=I$434,I$434,IF(Tabell2[[#This Row],[Sysselsettingsvekst10]]&gt;=I$435,I$435,Tabell2[[#This Row],[Sysselsettingsvekst10]]))</f>
        <v>1.3771186440677985E-2</v>
      </c>
      <c r="T250" s="24">
        <f>IF(Tabell2[[#This Row],[Yrkesaktivandel]]&lt;=J$434,J$434,IF(Tabell2[[#This Row],[Yrkesaktivandel]]&gt;=J$435,J$435,Tabell2[[#This Row],[Yrkesaktivandel]]))</f>
        <v>0.94066914614326791</v>
      </c>
      <c r="U250" s="24">
        <f>IF(Tabell2[[#This Row],[Inntekt]]&lt;=K$434,K$434,IF(Tabell2[[#This Row],[Inntekt]]&gt;=K$435,K$435,Tabell2[[#This Row],[Inntekt]]))</f>
        <v>380400</v>
      </c>
      <c r="V250" s="7">
        <f>IF(Tabell2[[#This Row],[NIBR11-T]]&lt;=L$437,100,IF(Tabell2[[#This Row],[NIBR11-T]]&gt;=L$436,0,100*(L$436-Tabell2[[#This Row],[NIBR11-T]])/L$439))</f>
        <v>50</v>
      </c>
      <c r="W250" s="7">
        <f>(M$436-Tabell2[[#This Row],[ReisetidOslo-T]])*100/M$439</f>
        <v>49.516636197445756</v>
      </c>
      <c r="X250" s="7">
        <f>100-(N$436-Tabell2[[#This Row],[Beftettland-T]])*100/N$439</f>
        <v>3.0002513079494975</v>
      </c>
      <c r="Y250" s="7">
        <f>100-(O$436-Tabell2[[#This Row],[Beftettotal-T]])*100/O$439</f>
        <v>2.8615793871801003</v>
      </c>
      <c r="Z250" s="7">
        <f>100-(P$436-Tabell2[[#This Row],[Befvekst10-T]])*100/P$439</f>
        <v>53.741515793524272</v>
      </c>
      <c r="AA250" s="7">
        <f>100-(Q$436-Tabell2[[#This Row],[Kvinneandel-T]])*100/Q$439</f>
        <v>56.815436502098287</v>
      </c>
      <c r="AB250" s="7">
        <f>(R$436-Tabell2[[#This Row],[Eldreandel-T]])*100/R$439</f>
        <v>69.409733088957751</v>
      </c>
      <c r="AC250" s="7">
        <f>100-(S$436-Tabell2[[#This Row],[Sysselsettingsvekst10-T]])*100/S$439</f>
        <v>34.704652268639919</v>
      </c>
      <c r="AD250" s="7">
        <f>100-(T$436-Tabell2[[#This Row],[Yrkesaktivandel-T]])*100/T$439</f>
        <v>100</v>
      </c>
      <c r="AE250" s="7">
        <f>100-(U$436-Tabell2[[#This Row],[Inntekt-T]])*100/U$439</f>
        <v>40.616183275025392</v>
      </c>
      <c r="AF250" s="7">
        <v>10</v>
      </c>
      <c r="AG250" s="7">
        <v>4.9516636197445756</v>
      </c>
      <c r="AH250" s="7">
        <v>0.28615793871801004</v>
      </c>
      <c r="AI250" s="7">
        <v>10.748303158704855</v>
      </c>
      <c r="AJ250" s="7">
        <v>2.8407718251049143</v>
      </c>
      <c r="AK250" s="7">
        <v>3.4704866544478876</v>
      </c>
      <c r="AL250" s="7">
        <v>3.4704652268639919</v>
      </c>
      <c r="AM250" s="7">
        <v>10</v>
      </c>
      <c r="AN250" s="7">
        <v>4.061618327502539</v>
      </c>
      <c r="AO25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49.829466751086777</v>
      </c>
    </row>
    <row r="251" spans="1:41" x14ac:dyDescent="0.3">
      <c r="A251" s="2" t="s">
        <v>248</v>
      </c>
      <c r="B251">
        <f>'Rådata-K'!N250</f>
        <v>6</v>
      </c>
      <c r="C251" s="7">
        <f>'Rådata-K'!M250</f>
        <v>193.46666666670001</v>
      </c>
      <c r="D251" s="24">
        <f>'Rådata-K'!O250</f>
        <v>4.8740336663385033</v>
      </c>
      <c r="E251" s="24">
        <f>'Rådata-K'!P250</f>
        <v>4.5016173029051831</v>
      </c>
      <c r="F251" s="24">
        <f>'Rådata-K'!Q250</f>
        <v>3.4955448937628475E-2</v>
      </c>
      <c r="G251" s="24">
        <f>'Rådata-K'!R250</f>
        <v>0.10562913907284768</v>
      </c>
      <c r="H251" s="24">
        <f>'Rådata-K'!S250</f>
        <v>0.16192052980132451</v>
      </c>
      <c r="I251" s="24">
        <f>'Rådata-K'!T250</f>
        <v>-4.0567951318458695E-3</v>
      </c>
      <c r="J251" s="24">
        <f>'Rådata-K'!U250</f>
        <v>0.95121951219512191</v>
      </c>
      <c r="K251" s="24">
        <f>'Rådata-K'!L250</f>
        <v>385300</v>
      </c>
      <c r="L251" s="24">
        <f>Tabell2[[#This Row],[NIBR11]]</f>
        <v>6</v>
      </c>
      <c r="M251" s="24">
        <f>IF(Tabell2[[#This Row],[ReisetidOslo]]&lt;=C$434,C$434,IF(Tabell2[[#This Row],[ReisetidOslo]]&gt;=C$435,C$435,Tabell2[[#This Row],[ReisetidOslo]]))</f>
        <v>193.46666666670001</v>
      </c>
      <c r="N251" s="24">
        <f>IF(Tabell2[[#This Row],[Beftettland]]&lt;=D$434,D$434,IF(Tabell2[[#This Row],[Beftettland]]&gt;=D$435,D$435,Tabell2[[#This Row],[Beftettland]]))</f>
        <v>4.8740336663385033</v>
      </c>
      <c r="O251" s="24">
        <f>IF(Tabell2[[#This Row],[Beftettotal]]&lt;=E$434,E$434,IF(Tabell2[[#This Row],[Beftettotal]]&gt;=E$435,E$435,Tabell2[[#This Row],[Beftettotal]]))</f>
        <v>4.5016173029051831</v>
      </c>
      <c r="P251" s="24">
        <f>IF(Tabell2[[#This Row],[Befvekst10]]&lt;=F$434,F$434,IF(Tabell2[[#This Row],[Befvekst10]]&gt;=F$435,F$435,Tabell2[[#This Row],[Befvekst10]]))</f>
        <v>3.4955448937628475E-2</v>
      </c>
      <c r="Q251" s="24">
        <f>IF(Tabell2[[#This Row],[Kvinneandel]]&lt;=G$434,G$434,IF(Tabell2[[#This Row],[Kvinneandel]]&gt;=G$435,G$435,Tabell2[[#This Row],[Kvinneandel]]))</f>
        <v>0.10562913907284768</v>
      </c>
      <c r="R251" s="24">
        <f>IF(Tabell2[[#This Row],[Eldreandel]]&lt;=H$434,H$434,IF(Tabell2[[#This Row],[Eldreandel]]&gt;=H$435,H$435,Tabell2[[#This Row],[Eldreandel]]))</f>
        <v>0.16192052980132451</v>
      </c>
      <c r="S251" s="24">
        <f>IF(Tabell2[[#This Row],[Sysselsettingsvekst10]]&lt;=I$434,I$434,IF(Tabell2[[#This Row],[Sysselsettingsvekst10]]&gt;=I$435,I$435,Tabell2[[#This Row],[Sysselsettingsvekst10]]))</f>
        <v>-4.0567951318458695E-3</v>
      </c>
      <c r="T251" s="24">
        <f>IF(Tabell2[[#This Row],[Yrkesaktivandel]]&lt;=J$434,J$434,IF(Tabell2[[#This Row],[Yrkesaktivandel]]&gt;=J$435,J$435,Tabell2[[#This Row],[Yrkesaktivandel]]))</f>
        <v>0.94066914614326791</v>
      </c>
      <c r="U251" s="24">
        <f>IF(Tabell2[[#This Row],[Inntekt]]&lt;=K$434,K$434,IF(Tabell2[[#This Row],[Inntekt]]&gt;=K$435,K$435,Tabell2[[#This Row],[Inntekt]]))</f>
        <v>385300</v>
      </c>
      <c r="V251" s="7">
        <f>IF(Tabell2[[#This Row],[NIBR11-T]]&lt;=L$437,100,IF(Tabell2[[#This Row],[NIBR11-T]]&gt;=L$436,0,100*(L$436-Tabell2[[#This Row],[NIBR11-T]])/L$439))</f>
        <v>50</v>
      </c>
      <c r="W251" s="7">
        <f>(M$436-Tabell2[[#This Row],[ReisetidOslo-T]])*100/M$439</f>
        <v>38.167458866536492</v>
      </c>
      <c r="X251" s="7">
        <f>100-(N$436-Tabell2[[#This Row],[Beftettland-T]])*100/N$439</f>
        <v>2.5678751047096711</v>
      </c>
      <c r="Y251" s="7">
        <f>100-(O$436-Tabell2[[#This Row],[Beftettotal-T]])*100/O$439</f>
        <v>2.4368150268420834</v>
      </c>
      <c r="Z251" s="7">
        <f>100-(P$436-Tabell2[[#This Row],[Befvekst10-T]])*100/P$439</f>
        <v>42.912083315041748</v>
      </c>
      <c r="AA251" s="7">
        <f>100-(Q$436-Tabell2[[#This Row],[Kvinneandel-T]])*100/Q$439</f>
        <v>42.314787472404255</v>
      </c>
      <c r="AB251" s="7">
        <f>(R$436-Tabell2[[#This Row],[Eldreandel-T]])*100/R$439</f>
        <v>63.037581190432398</v>
      </c>
      <c r="AC251" s="7">
        <f>100-(S$436-Tabell2[[#This Row],[Sysselsettingsvekst10-T]])*100/S$439</f>
        <v>28.886467291087101</v>
      </c>
      <c r="AD251" s="7">
        <f>100-(T$436-Tabell2[[#This Row],[Yrkesaktivandel-T]])*100/T$439</f>
        <v>100</v>
      </c>
      <c r="AE251" s="7">
        <f>100-(U$436-Tabell2[[#This Row],[Inntekt-T]])*100/U$439</f>
        <v>46.146033179099426</v>
      </c>
      <c r="AF251" s="7">
        <v>10</v>
      </c>
      <c r="AG251" s="7">
        <v>3.8167458866536492</v>
      </c>
      <c r="AH251" s="7">
        <v>0.24368150268420835</v>
      </c>
      <c r="AI251" s="7">
        <v>8.5824166630083507</v>
      </c>
      <c r="AJ251" s="7">
        <v>2.115739373620213</v>
      </c>
      <c r="AK251" s="7">
        <v>3.1518790595216202</v>
      </c>
      <c r="AL251" s="7">
        <v>2.8886467291087103</v>
      </c>
      <c r="AM251" s="7">
        <v>10</v>
      </c>
      <c r="AN251" s="7">
        <v>4.6146033179099426</v>
      </c>
      <c r="AO25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45.413712532506693</v>
      </c>
    </row>
    <row r="252" spans="1:41" x14ac:dyDescent="0.3">
      <c r="A252" s="2" t="s">
        <v>249</v>
      </c>
      <c r="B252">
        <f>'Rådata-K'!N251</f>
        <v>6</v>
      </c>
      <c r="C252" s="7">
        <f>'Rådata-K'!M251</f>
        <v>169.38333333330002</v>
      </c>
      <c r="D252" s="24">
        <f>'Rådata-K'!O251</f>
        <v>23.329414956144316</v>
      </c>
      <c r="E252" s="24">
        <f>'Rådata-K'!P251</f>
        <v>22.027560063521335</v>
      </c>
      <c r="F252" s="24">
        <f>'Rådata-K'!Q251</f>
        <v>0.1388717224331244</v>
      </c>
      <c r="G252" s="24">
        <f>'Rådata-K'!R251</f>
        <v>0.13302325581395349</v>
      </c>
      <c r="H252" s="24">
        <f>'Rådata-K'!S251</f>
        <v>0.10852713178294573</v>
      </c>
      <c r="I252" s="24">
        <f>'Rådata-K'!T251</f>
        <v>0.13741661613098843</v>
      </c>
      <c r="J252" s="24">
        <f>'Rådata-K'!U251</f>
        <v>0.92573872472783825</v>
      </c>
      <c r="K252" s="24">
        <f>'Rådata-K'!L251</f>
        <v>424600</v>
      </c>
      <c r="L252" s="24">
        <f>Tabell2[[#This Row],[NIBR11]]</f>
        <v>6</v>
      </c>
      <c r="M252" s="24">
        <f>IF(Tabell2[[#This Row],[ReisetidOslo]]&lt;=C$434,C$434,IF(Tabell2[[#This Row],[ReisetidOslo]]&gt;=C$435,C$435,Tabell2[[#This Row],[ReisetidOslo]]))</f>
        <v>169.38333333330002</v>
      </c>
      <c r="N252" s="24">
        <f>IF(Tabell2[[#This Row],[Beftettland]]&lt;=D$434,D$434,IF(Tabell2[[#This Row],[Beftettland]]&gt;=D$435,D$435,Tabell2[[#This Row],[Beftettland]]))</f>
        <v>23.329414956144316</v>
      </c>
      <c r="O252" s="24">
        <f>IF(Tabell2[[#This Row],[Beftettotal]]&lt;=E$434,E$434,IF(Tabell2[[#This Row],[Beftettotal]]&gt;=E$435,E$435,Tabell2[[#This Row],[Beftettotal]]))</f>
        <v>22.027560063521335</v>
      </c>
      <c r="P252" s="24">
        <f>IF(Tabell2[[#This Row],[Befvekst10]]&lt;=F$434,F$434,IF(Tabell2[[#This Row],[Befvekst10]]&gt;=F$435,F$435,Tabell2[[#This Row],[Befvekst10]]))</f>
        <v>0.1388717224331244</v>
      </c>
      <c r="Q252" s="24">
        <f>IF(Tabell2[[#This Row],[Kvinneandel]]&lt;=G$434,G$434,IF(Tabell2[[#This Row],[Kvinneandel]]&gt;=G$435,G$435,Tabell2[[#This Row],[Kvinneandel]]))</f>
        <v>0.12758728250318055</v>
      </c>
      <c r="R252" s="24">
        <f>IF(Tabell2[[#This Row],[Eldreandel]]&lt;=H$434,H$434,IF(Tabell2[[#This Row],[Eldreandel]]&gt;=H$435,H$435,Tabell2[[#This Row],[Eldreandel]]))</f>
        <v>0.12767243783057225</v>
      </c>
      <c r="S252" s="24">
        <f>IF(Tabell2[[#This Row],[Sysselsettingsvekst10]]&lt;=I$434,I$434,IF(Tabell2[[#This Row],[Sysselsettingsvekst10]]&gt;=I$435,I$435,Tabell2[[#This Row],[Sysselsettingsvekst10]]))</f>
        <v>0.13741661613098843</v>
      </c>
      <c r="T252" s="24">
        <f>IF(Tabell2[[#This Row],[Yrkesaktivandel]]&lt;=J$434,J$434,IF(Tabell2[[#This Row],[Yrkesaktivandel]]&gt;=J$435,J$435,Tabell2[[#This Row],[Yrkesaktivandel]]))</f>
        <v>0.92573872472783825</v>
      </c>
      <c r="U252" s="24">
        <f>IF(Tabell2[[#This Row],[Inntekt]]&lt;=K$434,K$434,IF(Tabell2[[#This Row],[Inntekt]]&gt;=K$435,K$435,Tabell2[[#This Row],[Inntekt]]))</f>
        <v>424600</v>
      </c>
      <c r="V252" s="7">
        <f>IF(Tabell2[[#This Row],[NIBR11-T]]&lt;=L$437,100,IF(Tabell2[[#This Row],[NIBR11-T]]&gt;=L$436,0,100*(L$436-Tabell2[[#This Row],[NIBR11-T]])/L$439))</f>
        <v>50</v>
      </c>
      <c r="W252" s="7">
        <f>(M$436-Tabell2[[#This Row],[ReisetidOslo-T]])*100/M$439</f>
        <v>48.734186471683486</v>
      </c>
      <c r="X252" s="7">
        <f>100-(N$436-Tabell2[[#This Row],[Beftettland-T]])*100/N$439</f>
        <v>16.219389740173341</v>
      </c>
      <c r="Y252" s="7">
        <f>100-(O$436-Tabell2[[#This Row],[Beftettotal-T]])*100/O$439</f>
        <v>15.851847511921434</v>
      </c>
      <c r="Z252" s="7">
        <f>100-(P$436-Tabell2[[#This Row],[Befvekst10-T]])*100/P$439</f>
        <v>84.973343466911061</v>
      </c>
      <c r="AA252" s="7">
        <f>100-(Q$436-Tabell2[[#This Row],[Kvinneandel-T]])*100/Q$439</f>
        <v>100</v>
      </c>
      <c r="AB252" s="7">
        <f>(R$436-Tabell2[[#This Row],[Eldreandel-T]])*100/R$439</f>
        <v>100</v>
      </c>
      <c r="AC252" s="7">
        <f>100-(S$436-Tabell2[[#This Row],[Sysselsettingsvekst10-T]])*100/S$439</f>
        <v>75.056499091049815</v>
      </c>
      <c r="AD252" s="7">
        <f>100-(T$436-Tabell2[[#This Row],[Yrkesaktivandel-T]])*100/T$439</f>
        <v>89.469666009370073</v>
      </c>
      <c r="AE252" s="7">
        <f>100-(U$436-Tabell2[[#This Row],[Inntekt-T]])*100/U$439</f>
        <v>90.497686491366665</v>
      </c>
      <c r="AF252" s="7">
        <v>10</v>
      </c>
      <c r="AG252" s="7">
        <v>4.8734186471683492</v>
      </c>
      <c r="AH252" s="7">
        <v>1.5851847511921435</v>
      </c>
      <c r="AI252" s="7">
        <v>16.994668693382213</v>
      </c>
      <c r="AJ252" s="7">
        <v>5</v>
      </c>
      <c r="AK252" s="7">
        <v>5</v>
      </c>
      <c r="AL252" s="7">
        <v>7.5056499091049815</v>
      </c>
      <c r="AM252" s="7">
        <v>8.9469666009370084</v>
      </c>
      <c r="AN252" s="7">
        <v>9.0497686491366665</v>
      </c>
      <c r="AO25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68.955657250921362</v>
      </c>
    </row>
    <row r="253" spans="1:41" x14ac:dyDescent="0.3">
      <c r="A253" s="2" t="s">
        <v>250</v>
      </c>
      <c r="B253">
        <f>'Rådata-K'!N252</f>
        <v>6</v>
      </c>
      <c r="C253" s="7">
        <f>'Rådata-K'!M252</f>
        <v>179.63333333330002</v>
      </c>
      <c r="D253" s="24">
        <f>'Rådata-K'!O252</f>
        <v>7.9889729668907705</v>
      </c>
      <c r="E253" s="24">
        <f>'Rådata-K'!P252</f>
        <v>7.6904329930406989</v>
      </c>
      <c r="F253" s="24">
        <f>'Rådata-K'!Q252</f>
        <v>5.2241570952204608E-2</v>
      </c>
      <c r="G253" s="24">
        <f>'Rådata-K'!R252</f>
        <v>0.11161971830985916</v>
      </c>
      <c r="H253" s="24">
        <f>'Rådata-K'!S252</f>
        <v>0.16126760563380282</v>
      </c>
      <c r="I253" s="24">
        <f>'Rådata-K'!T252</f>
        <v>-4.5592705167173286E-2</v>
      </c>
      <c r="J253" s="24">
        <f>'Rådata-K'!U252</f>
        <v>0.94608472400513477</v>
      </c>
      <c r="K253" s="24">
        <f>'Rådata-K'!L252</f>
        <v>382400</v>
      </c>
      <c r="L253" s="24">
        <f>Tabell2[[#This Row],[NIBR11]]</f>
        <v>6</v>
      </c>
      <c r="M253" s="24">
        <f>IF(Tabell2[[#This Row],[ReisetidOslo]]&lt;=C$434,C$434,IF(Tabell2[[#This Row],[ReisetidOslo]]&gt;=C$435,C$435,Tabell2[[#This Row],[ReisetidOslo]]))</f>
        <v>179.63333333330002</v>
      </c>
      <c r="N253" s="24">
        <f>IF(Tabell2[[#This Row],[Beftettland]]&lt;=D$434,D$434,IF(Tabell2[[#This Row],[Beftettland]]&gt;=D$435,D$435,Tabell2[[#This Row],[Beftettland]]))</f>
        <v>7.9889729668907705</v>
      </c>
      <c r="O253" s="24">
        <f>IF(Tabell2[[#This Row],[Beftettotal]]&lt;=E$434,E$434,IF(Tabell2[[#This Row],[Beftettotal]]&gt;=E$435,E$435,Tabell2[[#This Row],[Beftettotal]]))</f>
        <v>7.6904329930406989</v>
      </c>
      <c r="P253" s="24">
        <f>IF(Tabell2[[#This Row],[Befvekst10]]&lt;=F$434,F$434,IF(Tabell2[[#This Row],[Befvekst10]]&gt;=F$435,F$435,Tabell2[[#This Row],[Befvekst10]]))</f>
        <v>5.2241570952204608E-2</v>
      </c>
      <c r="Q253" s="24">
        <f>IF(Tabell2[[#This Row],[Kvinneandel]]&lt;=G$434,G$434,IF(Tabell2[[#This Row],[Kvinneandel]]&gt;=G$435,G$435,Tabell2[[#This Row],[Kvinneandel]]))</f>
        <v>0.11161971830985916</v>
      </c>
      <c r="R253" s="24">
        <f>IF(Tabell2[[#This Row],[Eldreandel]]&lt;=H$434,H$434,IF(Tabell2[[#This Row],[Eldreandel]]&gt;=H$435,H$435,Tabell2[[#This Row],[Eldreandel]]))</f>
        <v>0.16126760563380282</v>
      </c>
      <c r="S253" s="24">
        <f>IF(Tabell2[[#This Row],[Sysselsettingsvekst10]]&lt;=I$434,I$434,IF(Tabell2[[#This Row],[Sysselsettingsvekst10]]&gt;=I$435,I$435,Tabell2[[#This Row],[Sysselsettingsvekst10]]))</f>
        <v>-4.5592705167173286E-2</v>
      </c>
      <c r="T253" s="24">
        <f>IF(Tabell2[[#This Row],[Yrkesaktivandel]]&lt;=J$434,J$434,IF(Tabell2[[#This Row],[Yrkesaktivandel]]&gt;=J$435,J$435,Tabell2[[#This Row],[Yrkesaktivandel]]))</f>
        <v>0.94066914614326791</v>
      </c>
      <c r="U253" s="24">
        <f>IF(Tabell2[[#This Row],[Inntekt]]&lt;=K$434,K$434,IF(Tabell2[[#This Row],[Inntekt]]&gt;=K$435,K$435,Tabell2[[#This Row],[Inntekt]]))</f>
        <v>382400</v>
      </c>
      <c r="V253" s="7">
        <f>IF(Tabell2[[#This Row],[NIBR11-T]]&lt;=L$437,100,IF(Tabell2[[#This Row],[NIBR11-T]]&gt;=L$436,0,100*(L$436-Tabell2[[#This Row],[NIBR11-T]])/L$439))</f>
        <v>50</v>
      </c>
      <c r="W253" s="7">
        <f>(M$436-Tabell2[[#This Row],[ReisetidOslo-T]])*100/M$439</f>
        <v>44.2369287020313</v>
      </c>
      <c r="X253" s="7">
        <f>100-(N$436-Tabell2[[#This Row],[Beftettland-T]])*100/N$439</f>
        <v>4.8720073673987656</v>
      </c>
      <c r="Y253" s="7">
        <f>100-(O$436-Tabell2[[#This Row],[Beftettotal-T]])*100/O$439</f>
        <v>4.8776575342265431</v>
      </c>
      <c r="Z253" s="7">
        <f>100-(P$436-Tabell2[[#This Row],[Befvekst10-T]])*100/P$439</f>
        <v>49.908832241989714</v>
      </c>
      <c r="AA253" s="7">
        <f>100-(Q$436-Tabell2[[#This Row],[Kvinneandel-T]])*100/Q$439</f>
        <v>58.052358253230999</v>
      </c>
      <c r="AB253" s="7">
        <f>(R$436-Tabell2[[#This Row],[Eldreandel-T]])*100/R$439</f>
        <v>63.742252754367549</v>
      </c>
      <c r="AC253" s="7">
        <f>100-(S$436-Tabell2[[#This Row],[Sysselsettingsvekst10-T]])*100/S$439</f>
        <v>15.331169019465861</v>
      </c>
      <c r="AD253" s="7">
        <f>100-(T$436-Tabell2[[#This Row],[Yrkesaktivandel-T]])*100/T$439</f>
        <v>100</v>
      </c>
      <c r="AE253" s="7">
        <f>100-(U$436-Tabell2[[#This Row],[Inntekt-T]])*100/U$439</f>
        <v>42.873264868524998</v>
      </c>
      <c r="AF253" s="7">
        <v>10</v>
      </c>
      <c r="AG253" s="7">
        <v>4.42369287020313</v>
      </c>
      <c r="AH253" s="7">
        <v>0.48776575342265432</v>
      </c>
      <c r="AI253" s="7">
        <v>9.9817664483979431</v>
      </c>
      <c r="AJ253" s="7">
        <v>2.9026179126615501</v>
      </c>
      <c r="AK253" s="7">
        <v>3.1871126377183776</v>
      </c>
      <c r="AL253" s="7">
        <v>1.5331169019465862</v>
      </c>
      <c r="AM253" s="7">
        <v>10</v>
      </c>
      <c r="AN253" s="7">
        <v>4.2873264868524998</v>
      </c>
      <c r="AO25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46.803399011202742</v>
      </c>
    </row>
    <row r="254" spans="1:41" x14ac:dyDescent="0.3">
      <c r="A254" s="2" t="s">
        <v>251</v>
      </c>
      <c r="B254">
        <f>'Rådata-K'!N253</f>
        <v>11</v>
      </c>
      <c r="C254" s="7">
        <f>'Rådata-K'!M253</f>
        <v>214.5666666667</v>
      </c>
      <c r="D254" s="24">
        <f>'Rådata-K'!O253</f>
        <v>4.8871607197316251</v>
      </c>
      <c r="E254" s="24">
        <f>'Rådata-K'!P253</f>
        <v>4.6180447155447757</v>
      </c>
      <c r="F254" s="24">
        <f>'Rådata-K'!Q253</f>
        <v>-3.0745967741935498E-2</v>
      </c>
      <c r="G254" s="24">
        <f>'Rådata-K'!R253</f>
        <v>8.8663546541861676E-2</v>
      </c>
      <c r="H254" s="24">
        <f>'Rådata-K'!S253</f>
        <v>0.21528861154446177</v>
      </c>
      <c r="I254" s="24">
        <f>'Rådata-K'!T253</f>
        <v>-3.6069651741293507E-2</v>
      </c>
      <c r="J254" s="24">
        <f>'Rådata-K'!U253</f>
        <v>0.88381330685203574</v>
      </c>
      <c r="K254" s="24">
        <f>'Rådata-K'!L253</f>
        <v>374300</v>
      </c>
      <c r="L254" s="24">
        <f>Tabell2[[#This Row],[NIBR11]]</f>
        <v>11</v>
      </c>
      <c r="M254" s="24">
        <f>IF(Tabell2[[#This Row],[ReisetidOslo]]&lt;=C$434,C$434,IF(Tabell2[[#This Row],[ReisetidOslo]]&gt;=C$435,C$435,Tabell2[[#This Row],[ReisetidOslo]]))</f>
        <v>214.5666666667</v>
      </c>
      <c r="N254" s="24">
        <f>IF(Tabell2[[#This Row],[Beftettland]]&lt;=D$434,D$434,IF(Tabell2[[#This Row],[Beftettland]]&gt;=D$435,D$435,Tabell2[[#This Row],[Beftettland]]))</f>
        <v>4.8871607197316251</v>
      </c>
      <c r="O254" s="24">
        <f>IF(Tabell2[[#This Row],[Beftettotal]]&lt;=E$434,E$434,IF(Tabell2[[#This Row],[Beftettotal]]&gt;=E$435,E$435,Tabell2[[#This Row],[Beftettotal]]))</f>
        <v>4.6180447155447757</v>
      </c>
      <c r="P254" s="24">
        <f>IF(Tabell2[[#This Row],[Befvekst10]]&lt;=F$434,F$434,IF(Tabell2[[#This Row],[Befvekst10]]&gt;=F$435,F$435,Tabell2[[#This Row],[Befvekst10]]))</f>
        <v>-3.0745967741935498E-2</v>
      </c>
      <c r="Q254" s="24">
        <f>IF(Tabell2[[#This Row],[Kvinneandel]]&lt;=G$434,G$434,IF(Tabell2[[#This Row],[Kvinneandel]]&gt;=G$435,G$435,Tabell2[[#This Row],[Kvinneandel]]))</f>
        <v>8.9521819157910881E-2</v>
      </c>
      <c r="R254" s="24">
        <f>IF(Tabell2[[#This Row],[Eldreandel]]&lt;=H$434,H$434,IF(Tabell2[[#This Row],[Eldreandel]]&gt;=H$435,H$435,Tabell2[[#This Row],[Eldreandel]]))</f>
        <v>0.21528861154446177</v>
      </c>
      <c r="S254" s="24">
        <f>IF(Tabell2[[#This Row],[Sysselsettingsvekst10]]&lt;=I$434,I$434,IF(Tabell2[[#This Row],[Sysselsettingsvekst10]]&gt;=I$435,I$435,Tabell2[[#This Row],[Sysselsettingsvekst10]]))</f>
        <v>-3.6069651741293507E-2</v>
      </c>
      <c r="T254" s="24">
        <f>IF(Tabell2[[#This Row],[Yrkesaktivandel]]&lt;=J$434,J$434,IF(Tabell2[[#This Row],[Yrkesaktivandel]]&gt;=J$435,J$435,Tabell2[[#This Row],[Yrkesaktivandel]]))</f>
        <v>0.88381330685203574</v>
      </c>
      <c r="U254" s="24">
        <f>IF(Tabell2[[#This Row],[Inntekt]]&lt;=K$434,K$434,IF(Tabell2[[#This Row],[Inntekt]]&gt;=K$435,K$435,Tabell2[[#This Row],[Inntekt]]))</f>
        <v>374300</v>
      </c>
      <c r="V254" s="7">
        <f>IF(Tabell2[[#This Row],[NIBR11-T]]&lt;=L$437,100,IF(Tabell2[[#This Row],[NIBR11-T]]&gt;=L$436,0,100*(L$436-Tabell2[[#This Row],[NIBR11-T]])/L$439))</f>
        <v>0</v>
      </c>
      <c r="W254" s="7">
        <f>(M$436-Tabell2[[#This Row],[ReisetidOslo-T]])*100/M$439</f>
        <v>28.909689213886622</v>
      </c>
      <c r="X254" s="7">
        <f>100-(N$436-Tabell2[[#This Row],[Beftettland-T]])*100/N$439</f>
        <v>2.577585235251135</v>
      </c>
      <c r="Y254" s="7">
        <f>100-(O$436-Tabell2[[#This Row],[Beftettotal-T]])*100/O$439</f>
        <v>2.525933058553548</v>
      </c>
      <c r="Z254" s="7">
        <f>100-(P$436-Tabell2[[#This Row],[Befvekst10-T]])*100/P$439</f>
        <v>16.318708799689418</v>
      </c>
      <c r="AA254" s="7">
        <f>100-(Q$436-Tabell2[[#This Row],[Kvinneandel-T]])*100/Q$439</f>
        <v>0</v>
      </c>
      <c r="AB254" s="7">
        <f>(R$436-Tabell2[[#This Row],[Eldreandel-T]])*100/R$439</f>
        <v>5.439820995859157</v>
      </c>
      <c r="AC254" s="7">
        <f>100-(S$436-Tabell2[[#This Row],[Sysselsettingsvekst10-T]])*100/S$439</f>
        <v>18.439029892974872</v>
      </c>
      <c r="AD254" s="7">
        <f>100-(T$436-Tabell2[[#This Row],[Yrkesaktivandel-T]])*100/T$439</f>
        <v>59.899927778627578</v>
      </c>
      <c r="AE254" s="7">
        <f>100-(U$436-Tabell2[[#This Row],[Inntekt-T]])*100/U$439</f>
        <v>33.732084414851599</v>
      </c>
      <c r="AF254" s="7">
        <v>0</v>
      </c>
      <c r="AG254" s="7">
        <v>2.8909689213886622</v>
      </c>
      <c r="AH254" s="7">
        <v>0.25259330585535483</v>
      </c>
      <c r="AI254" s="7">
        <v>3.2637417599378837</v>
      </c>
      <c r="AJ254" s="7">
        <v>0</v>
      </c>
      <c r="AK254" s="7">
        <v>0.27199104979295785</v>
      </c>
      <c r="AL254" s="7">
        <v>1.8439029892974874</v>
      </c>
      <c r="AM254" s="7">
        <v>5.9899927778627582</v>
      </c>
      <c r="AN254" s="7">
        <v>3.37320844148516</v>
      </c>
      <c r="AO25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17.886399245620265</v>
      </c>
    </row>
    <row r="255" spans="1:41" x14ac:dyDescent="0.3">
      <c r="A255" s="2" t="s">
        <v>252</v>
      </c>
      <c r="B255">
        <f>'Rådata-K'!N254</f>
        <v>9</v>
      </c>
      <c r="C255" s="7">
        <f>'Rådata-K'!M254</f>
        <v>218.63333333330002</v>
      </c>
      <c r="D255" s="24">
        <f>'Rådata-K'!O254</f>
        <v>35.290684099929955</v>
      </c>
      <c r="E255" s="24">
        <f>'Rådata-K'!P254</f>
        <v>34.218122134812383</v>
      </c>
      <c r="F255" s="24">
        <f>'Rådata-K'!Q254</f>
        <v>-1.2575534868528471E-2</v>
      </c>
      <c r="G255" s="24">
        <f>'Rådata-K'!R254</f>
        <v>0.1027125372146874</v>
      </c>
      <c r="H255" s="24">
        <f>'Rådata-K'!S254</f>
        <v>0.1739993384055574</v>
      </c>
      <c r="I255" s="24">
        <f>'Rådata-K'!T254</f>
        <v>2.5146400275577019E-2</v>
      </c>
      <c r="J255" s="24">
        <f>'Rådata-K'!U254</f>
        <v>0.8746666666666667</v>
      </c>
      <c r="K255" s="24">
        <f>'Rådata-K'!L254</f>
        <v>390700</v>
      </c>
      <c r="L255" s="24">
        <f>Tabell2[[#This Row],[NIBR11]]</f>
        <v>9</v>
      </c>
      <c r="M255" s="24">
        <f>IF(Tabell2[[#This Row],[ReisetidOslo]]&lt;=C$434,C$434,IF(Tabell2[[#This Row],[ReisetidOslo]]&gt;=C$435,C$435,Tabell2[[#This Row],[ReisetidOslo]]))</f>
        <v>218.63333333330002</v>
      </c>
      <c r="N255" s="24">
        <f>IF(Tabell2[[#This Row],[Beftettland]]&lt;=D$434,D$434,IF(Tabell2[[#This Row],[Beftettland]]&gt;=D$435,D$435,Tabell2[[#This Row],[Beftettland]]))</f>
        <v>35.290684099929955</v>
      </c>
      <c r="O255" s="24">
        <f>IF(Tabell2[[#This Row],[Beftettotal]]&lt;=E$434,E$434,IF(Tabell2[[#This Row],[Beftettotal]]&gt;=E$435,E$435,Tabell2[[#This Row],[Beftettotal]]))</f>
        <v>34.218122134812383</v>
      </c>
      <c r="P255" s="24">
        <f>IF(Tabell2[[#This Row],[Befvekst10]]&lt;=F$434,F$434,IF(Tabell2[[#This Row],[Befvekst10]]&gt;=F$435,F$435,Tabell2[[#This Row],[Befvekst10]]))</f>
        <v>-1.2575534868528471E-2</v>
      </c>
      <c r="Q255" s="24">
        <f>IF(Tabell2[[#This Row],[Kvinneandel]]&lt;=G$434,G$434,IF(Tabell2[[#This Row],[Kvinneandel]]&gt;=G$435,G$435,Tabell2[[#This Row],[Kvinneandel]]))</f>
        <v>0.1027125372146874</v>
      </c>
      <c r="R255" s="24">
        <f>IF(Tabell2[[#This Row],[Eldreandel]]&lt;=H$434,H$434,IF(Tabell2[[#This Row],[Eldreandel]]&gt;=H$435,H$435,Tabell2[[#This Row],[Eldreandel]]))</f>
        <v>0.1739993384055574</v>
      </c>
      <c r="S255" s="24">
        <f>IF(Tabell2[[#This Row],[Sysselsettingsvekst10]]&lt;=I$434,I$434,IF(Tabell2[[#This Row],[Sysselsettingsvekst10]]&gt;=I$435,I$435,Tabell2[[#This Row],[Sysselsettingsvekst10]]))</f>
        <v>2.5146400275577019E-2</v>
      </c>
      <c r="T255" s="24">
        <f>IF(Tabell2[[#This Row],[Yrkesaktivandel]]&lt;=J$434,J$434,IF(Tabell2[[#This Row],[Yrkesaktivandel]]&gt;=J$435,J$435,Tabell2[[#This Row],[Yrkesaktivandel]]))</f>
        <v>0.8746666666666667</v>
      </c>
      <c r="U255" s="24">
        <f>IF(Tabell2[[#This Row],[Inntekt]]&lt;=K$434,K$434,IF(Tabell2[[#This Row],[Inntekt]]&gt;=K$435,K$435,Tabell2[[#This Row],[Inntekt]]))</f>
        <v>390700</v>
      </c>
      <c r="V255" s="7">
        <f>IF(Tabell2[[#This Row],[NIBR11-T]]&lt;=L$437,100,IF(Tabell2[[#This Row],[NIBR11-T]]&gt;=L$436,0,100*(L$436-Tabell2[[#This Row],[NIBR11-T]])/L$439))</f>
        <v>20</v>
      </c>
      <c r="W255" s="7">
        <f>(M$436-Tabell2[[#This Row],[ReisetidOslo-T]])*100/M$439</f>
        <v>27.125411334574185</v>
      </c>
      <c r="X255" s="7">
        <f>100-(N$436-Tabell2[[#This Row],[Beftettland-T]])*100/N$439</f>
        <v>25.067185307816558</v>
      </c>
      <c r="Y255" s="7">
        <f>100-(O$436-Tabell2[[#This Row],[Beftettotal-T]])*100/O$439</f>
        <v>25.182973855962743</v>
      </c>
      <c r="Z255" s="7">
        <f>100-(P$436-Tabell2[[#This Row],[Befvekst10-T]])*100/P$439</f>
        <v>23.673392319913773</v>
      </c>
      <c r="AA255" s="7">
        <f>100-(Q$436-Tabell2[[#This Row],[Kvinneandel-T]])*100/Q$439</f>
        <v>34.652719020207869</v>
      </c>
      <c r="AB255" s="7">
        <f>(R$436-Tabell2[[#This Row],[Eldreandel-T]])*100/R$439</f>
        <v>50.001468617167248</v>
      </c>
      <c r="AC255" s="7">
        <f>100-(S$436-Tabell2[[#This Row],[Sysselsettingsvekst10-T]])*100/S$439</f>
        <v>38.416968100997565</v>
      </c>
      <c r="AD255" s="7">
        <f>100-(T$436-Tabell2[[#This Row],[Yrkesaktivandel-T]])*100/T$439</f>
        <v>53.448858959865674</v>
      </c>
      <c r="AE255" s="7">
        <f>100-(U$436-Tabell2[[#This Row],[Inntekt-T]])*100/U$439</f>
        <v>52.240153481548361</v>
      </c>
      <c r="AF255" s="7">
        <v>4</v>
      </c>
      <c r="AG255" s="7">
        <v>2.7125411334574188</v>
      </c>
      <c r="AH255" s="7">
        <v>2.5182973855962745</v>
      </c>
      <c r="AI255" s="7">
        <v>4.734678463982755</v>
      </c>
      <c r="AJ255" s="7">
        <v>1.7326359510103935</v>
      </c>
      <c r="AK255" s="7">
        <v>2.5000734308583628</v>
      </c>
      <c r="AL255" s="7">
        <v>3.8416968100997568</v>
      </c>
      <c r="AM255" s="7">
        <v>5.3448858959865682</v>
      </c>
      <c r="AN255" s="7">
        <v>5.2240153481548361</v>
      </c>
      <c r="AO25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32.608824419146373</v>
      </c>
    </row>
    <row r="256" spans="1:41" x14ac:dyDescent="0.3">
      <c r="A256" s="2" t="s">
        <v>253</v>
      </c>
      <c r="B256">
        <f>'Rådata-K'!N255</f>
        <v>9</v>
      </c>
      <c r="C256" s="7">
        <f>'Rådata-K'!M255</f>
        <v>224.96666666670001</v>
      </c>
      <c r="D256" s="24">
        <f>'Rådata-K'!O255</f>
        <v>12.615972348553758</v>
      </c>
      <c r="E256" s="24">
        <f>'Rådata-K'!P255</f>
        <v>12.267822395188395</v>
      </c>
      <c r="F256" s="24">
        <f>'Rådata-K'!Q255</f>
        <v>-6.2204192021636295E-2</v>
      </c>
      <c r="G256" s="24">
        <f>'Rådata-K'!R255</f>
        <v>9.5890410958904104E-2</v>
      </c>
      <c r="H256" s="24">
        <f>'Rådata-K'!S255</f>
        <v>0.19466474405191059</v>
      </c>
      <c r="I256" s="24">
        <f>'Rådata-K'!T255</f>
        <v>2.1390374331550888E-2</v>
      </c>
      <c r="J256" s="24">
        <f>'Rådata-K'!U255</f>
        <v>0.92190602250165454</v>
      </c>
      <c r="K256" s="24">
        <f>'Rådata-K'!L255</f>
        <v>383600</v>
      </c>
      <c r="L256" s="24">
        <f>Tabell2[[#This Row],[NIBR11]]</f>
        <v>9</v>
      </c>
      <c r="M256" s="24">
        <f>IF(Tabell2[[#This Row],[ReisetidOslo]]&lt;=C$434,C$434,IF(Tabell2[[#This Row],[ReisetidOslo]]&gt;=C$435,C$435,Tabell2[[#This Row],[ReisetidOslo]]))</f>
        <v>224.96666666670001</v>
      </c>
      <c r="N256" s="24">
        <f>IF(Tabell2[[#This Row],[Beftettland]]&lt;=D$434,D$434,IF(Tabell2[[#This Row],[Beftettland]]&gt;=D$435,D$435,Tabell2[[#This Row],[Beftettland]]))</f>
        <v>12.615972348553758</v>
      </c>
      <c r="O256" s="24">
        <f>IF(Tabell2[[#This Row],[Beftettotal]]&lt;=E$434,E$434,IF(Tabell2[[#This Row],[Beftettotal]]&gt;=E$435,E$435,Tabell2[[#This Row],[Beftettotal]]))</f>
        <v>12.267822395188395</v>
      </c>
      <c r="P256" s="24">
        <f>IF(Tabell2[[#This Row],[Befvekst10]]&lt;=F$434,F$434,IF(Tabell2[[#This Row],[Befvekst10]]&gt;=F$435,F$435,Tabell2[[#This Row],[Befvekst10]]))</f>
        <v>-6.2204192021636295E-2</v>
      </c>
      <c r="Q256" s="24">
        <f>IF(Tabell2[[#This Row],[Kvinneandel]]&lt;=G$434,G$434,IF(Tabell2[[#This Row],[Kvinneandel]]&gt;=G$435,G$435,Tabell2[[#This Row],[Kvinneandel]]))</f>
        <v>9.5890410958904104E-2</v>
      </c>
      <c r="R256" s="24">
        <f>IF(Tabell2[[#This Row],[Eldreandel]]&lt;=H$434,H$434,IF(Tabell2[[#This Row],[Eldreandel]]&gt;=H$435,H$435,Tabell2[[#This Row],[Eldreandel]]))</f>
        <v>0.19466474405191059</v>
      </c>
      <c r="S256" s="24">
        <f>IF(Tabell2[[#This Row],[Sysselsettingsvekst10]]&lt;=I$434,I$434,IF(Tabell2[[#This Row],[Sysselsettingsvekst10]]&gt;=I$435,I$435,Tabell2[[#This Row],[Sysselsettingsvekst10]]))</f>
        <v>2.1390374331550888E-2</v>
      </c>
      <c r="T256" s="24">
        <f>IF(Tabell2[[#This Row],[Yrkesaktivandel]]&lt;=J$434,J$434,IF(Tabell2[[#This Row],[Yrkesaktivandel]]&gt;=J$435,J$435,Tabell2[[#This Row],[Yrkesaktivandel]]))</f>
        <v>0.92190602250165454</v>
      </c>
      <c r="U256" s="24">
        <f>IF(Tabell2[[#This Row],[Inntekt]]&lt;=K$434,K$434,IF(Tabell2[[#This Row],[Inntekt]]&gt;=K$435,K$435,Tabell2[[#This Row],[Inntekt]]))</f>
        <v>383600</v>
      </c>
      <c r="V256" s="7">
        <f>IF(Tabell2[[#This Row],[NIBR11-T]]&lt;=L$437,100,IF(Tabell2[[#This Row],[NIBR11-T]]&gt;=L$436,0,100*(L$436-Tabell2[[#This Row],[NIBR11-T]])/L$439))</f>
        <v>20</v>
      </c>
      <c r="W256" s="7">
        <f>(M$436-Tabell2[[#This Row],[ReisetidOslo-T]])*100/M$439</f>
        <v>24.346617915898054</v>
      </c>
      <c r="X256" s="7">
        <f>100-(N$436-Tabell2[[#This Row],[Beftettland-T]])*100/N$439</f>
        <v>8.2946161331111483</v>
      </c>
      <c r="Y256" s="7">
        <f>100-(O$436-Tabell2[[#This Row],[Beftettotal-T]])*100/O$439</f>
        <v>8.3813679117737365</v>
      </c>
      <c r="Z256" s="7">
        <f>100-(P$436-Tabell2[[#This Row],[Befvekst10-T]])*100/P$439</f>
        <v>3.5856448546885531</v>
      </c>
      <c r="AA256" s="7">
        <f>100-(Q$436-Tabell2[[#This Row],[Kvinneandel-T]])*100/Q$439</f>
        <v>16.730629923580409</v>
      </c>
      <c r="AB256" s="7">
        <f>(R$436-Tabell2[[#This Row],[Eldreandel-T]])*100/R$439</f>
        <v>27.698229679873201</v>
      </c>
      <c r="AC256" s="7">
        <f>100-(S$436-Tabell2[[#This Row],[Sysselsettingsvekst10-T]])*100/S$439</f>
        <v>37.191184148174145</v>
      </c>
      <c r="AD256" s="7">
        <f>100-(T$436-Tabell2[[#This Row],[Yrkesaktivandel-T]])*100/T$439</f>
        <v>86.766484806015953</v>
      </c>
      <c r="AE256" s="7">
        <f>100-(U$436-Tabell2[[#This Row],[Inntekt-T]])*100/U$439</f>
        <v>44.227513824624758</v>
      </c>
      <c r="AF256" s="7">
        <v>4</v>
      </c>
      <c r="AG256" s="7">
        <v>2.4346617915898054</v>
      </c>
      <c r="AH256" s="7">
        <v>0.83813679117737372</v>
      </c>
      <c r="AI256" s="7">
        <v>0.71712897093771066</v>
      </c>
      <c r="AJ256" s="7">
        <v>0.83653149617902045</v>
      </c>
      <c r="AK256" s="7">
        <v>1.38491148399366</v>
      </c>
      <c r="AL256" s="7">
        <v>3.7191184148174146</v>
      </c>
      <c r="AM256" s="7">
        <v>8.676648480601596</v>
      </c>
      <c r="AN256" s="7">
        <v>4.4227513824624758</v>
      </c>
      <c r="AO25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27.029888811759054</v>
      </c>
    </row>
    <row r="257" spans="1:41" x14ac:dyDescent="0.3">
      <c r="A257" s="2" t="s">
        <v>254</v>
      </c>
      <c r="B257">
        <f>'Rådata-K'!N256</f>
        <v>8</v>
      </c>
      <c r="C257" s="7">
        <f>'Rådata-K'!M256</f>
        <v>174.35</v>
      </c>
      <c r="D257" s="24">
        <f>'Rådata-K'!O256</f>
        <v>14.3146120894812</v>
      </c>
      <c r="E257" s="24">
        <f>'Rådata-K'!P256</f>
        <v>12.819146668939943</v>
      </c>
      <c r="F257" s="24">
        <f>'Rådata-K'!Q256</f>
        <v>3.6890191346319545E-2</v>
      </c>
      <c r="G257" s="24">
        <f>'Rådata-K'!R256</f>
        <v>0.10955943474646716</v>
      </c>
      <c r="H257" s="24">
        <f>'Rådata-K'!S256</f>
        <v>0.15843724023275146</v>
      </c>
      <c r="I257" s="24">
        <f>'Rådata-K'!T256</f>
        <v>1.9805545552754822E-2</v>
      </c>
      <c r="J257" s="24">
        <f>'Rådata-K'!U256</f>
        <v>0.91581785500299584</v>
      </c>
      <c r="K257" s="24">
        <f>'Rådata-K'!L256</f>
        <v>385000</v>
      </c>
      <c r="L257" s="24">
        <f>Tabell2[[#This Row],[NIBR11]]</f>
        <v>8</v>
      </c>
      <c r="M257" s="24">
        <f>IF(Tabell2[[#This Row],[ReisetidOslo]]&lt;=C$434,C$434,IF(Tabell2[[#This Row],[ReisetidOslo]]&gt;=C$435,C$435,Tabell2[[#This Row],[ReisetidOslo]]))</f>
        <v>174.35</v>
      </c>
      <c r="N257" s="24">
        <f>IF(Tabell2[[#This Row],[Beftettland]]&lt;=D$434,D$434,IF(Tabell2[[#This Row],[Beftettland]]&gt;=D$435,D$435,Tabell2[[#This Row],[Beftettland]]))</f>
        <v>14.3146120894812</v>
      </c>
      <c r="O257" s="24">
        <f>IF(Tabell2[[#This Row],[Beftettotal]]&lt;=E$434,E$434,IF(Tabell2[[#This Row],[Beftettotal]]&gt;=E$435,E$435,Tabell2[[#This Row],[Beftettotal]]))</f>
        <v>12.819146668939943</v>
      </c>
      <c r="P257" s="24">
        <f>IF(Tabell2[[#This Row],[Befvekst10]]&lt;=F$434,F$434,IF(Tabell2[[#This Row],[Befvekst10]]&gt;=F$435,F$435,Tabell2[[#This Row],[Befvekst10]]))</f>
        <v>3.6890191346319545E-2</v>
      </c>
      <c r="Q257" s="24">
        <f>IF(Tabell2[[#This Row],[Kvinneandel]]&lt;=G$434,G$434,IF(Tabell2[[#This Row],[Kvinneandel]]&gt;=G$435,G$435,Tabell2[[#This Row],[Kvinneandel]]))</f>
        <v>0.10955943474646716</v>
      </c>
      <c r="R257" s="24">
        <f>IF(Tabell2[[#This Row],[Eldreandel]]&lt;=H$434,H$434,IF(Tabell2[[#This Row],[Eldreandel]]&gt;=H$435,H$435,Tabell2[[#This Row],[Eldreandel]]))</f>
        <v>0.15843724023275146</v>
      </c>
      <c r="S257" s="24">
        <f>IF(Tabell2[[#This Row],[Sysselsettingsvekst10]]&lt;=I$434,I$434,IF(Tabell2[[#This Row],[Sysselsettingsvekst10]]&gt;=I$435,I$435,Tabell2[[#This Row],[Sysselsettingsvekst10]]))</f>
        <v>1.9805545552754822E-2</v>
      </c>
      <c r="T257" s="24">
        <f>IF(Tabell2[[#This Row],[Yrkesaktivandel]]&lt;=J$434,J$434,IF(Tabell2[[#This Row],[Yrkesaktivandel]]&gt;=J$435,J$435,Tabell2[[#This Row],[Yrkesaktivandel]]))</f>
        <v>0.91581785500299584</v>
      </c>
      <c r="U257" s="24">
        <f>IF(Tabell2[[#This Row],[Inntekt]]&lt;=K$434,K$434,IF(Tabell2[[#This Row],[Inntekt]]&gt;=K$435,K$435,Tabell2[[#This Row],[Inntekt]]))</f>
        <v>385000</v>
      </c>
      <c r="V257" s="7">
        <f>IF(Tabell2[[#This Row],[NIBR11-T]]&lt;=L$437,100,IF(Tabell2[[#This Row],[NIBR11-T]]&gt;=L$436,0,100*(L$436-Tabell2[[#This Row],[NIBR11-T]])/L$439))</f>
        <v>30</v>
      </c>
      <c r="W257" s="7">
        <f>(M$436-Tabell2[[#This Row],[ReisetidOslo-T]])*100/M$439</f>
        <v>46.555027422308946</v>
      </c>
      <c r="X257" s="7">
        <f>100-(N$436-Tabell2[[#This Row],[Beftettland-T]])*100/N$439</f>
        <v>9.5511063090394117</v>
      </c>
      <c r="Y257" s="7">
        <f>100-(O$436-Tabell2[[#This Row],[Beftettotal-T]])*100/O$439</f>
        <v>8.803372772979273</v>
      </c>
      <c r="Z257" s="7">
        <f>100-(P$436-Tabell2[[#This Row],[Befvekst10-T]])*100/P$439</f>
        <v>43.695191687209629</v>
      </c>
      <c r="AA257" s="7">
        <f>100-(Q$436-Tabell2[[#This Row],[Kvinneandel-T]])*100/Q$439</f>
        <v>52.639883578473039</v>
      </c>
      <c r="AB257" s="7">
        <f>(R$436-Tabell2[[#This Row],[Eldreandel-T]])*100/R$439</f>
        <v>66.796938295013518</v>
      </c>
      <c r="AC257" s="7">
        <f>100-(S$436-Tabell2[[#This Row],[Sysselsettingsvekst10-T]])*100/S$439</f>
        <v>36.673973214604658</v>
      </c>
      <c r="AD257" s="7">
        <f>100-(T$436-Tabell2[[#This Row],[Yrkesaktivandel-T]])*100/T$439</f>
        <v>82.472537879272139</v>
      </c>
      <c r="AE257" s="7">
        <f>100-(U$436-Tabell2[[#This Row],[Inntekt-T]])*100/U$439</f>
        <v>45.807470940074481</v>
      </c>
      <c r="AF257" s="7">
        <v>6</v>
      </c>
      <c r="AG257" s="7">
        <v>4.6555027422308948</v>
      </c>
      <c r="AH257" s="7">
        <v>0.88033727729792732</v>
      </c>
      <c r="AI257" s="7">
        <v>8.7390383374419258</v>
      </c>
      <c r="AJ257" s="7">
        <v>2.6319941789236521</v>
      </c>
      <c r="AK257" s="7">
        <v>3.3398469147506762</v>
      </c>
      <c r="AL257" s="7">
        <v>3.667397321460466</v>
      </c>
      <c r="AM257" s="7">
        <v>8.2472537879272139</v>
      </c>
      <c r="AN257" s="7">
        <v>4.5807470940074486</v>
      </c>
      <c r="AO25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42.7421176540402</v>
      </c>
    </row>
    <row r="258" spans="1:41" x14ac:dyDescent="0.3">
      <c r="A258" s="2" t="s">
        <v>255</v>
      </c>
      <c r="B258">
        <f>'Rådata-K'!N257</f>
        <v>8</v>
      </c>
      <c r="C258" s="7">
        <f>'Rådata-K'!M257</f>
        <v>193.63333333330002</v>
      </c>
      <c r="D258" s="24">
        <f>'Rådata-K'!O257</f>
        <v>6.7249495628782787</v>
      </c>
      <c r="E258" s="24">
        <f>'Rådata-K'!P257</f>
        <v>6.2630480167014619</v>
      </c>
      <c r="F258" s="24">
        <f>'Rådata-K'!Q257</f>
        <v>-4.9751243781094301E-3</v>
      </c>
      <c r="G258" s="24">
        <f>'Rådata-K'!R257</f>
        <v>0.11083333333333334</v>
      </c>
      <c r="H258" s="24">
        <f>'Rådata-K'!S257</f>
        <v>0.17833333333333334</v>
      </c>
      <c r="I258" s="24">
        <f>'Rådata-K'!T257</f>
        <v>-0.13168724279835387</v>
      </c>
      <c r="J258" s="24">
        <f>'Rådata-K'!U257</f>
        <v>0.97523219814241491</v>
      </c>
      <c r="K258" s="24">
        <f>'Rådata-K'!L257</f>
        <v>357400</v>
      </c>
      <c r="L258" s="24">
        <f>Tabell2[[#This Row],[NIBR11]]</f>
        <v>8</v>
      </c>
      <c r="M258" s="24">
        <f>IF(Tabell2[[#This Row],[ReisetidOslo]]&lt;=C$434,C$434,IF(Tabell2[[#This Row],[ReisetidOslo]]&gt;=C$435,C$435,Tabell2[[#This Row],[ReisetidOslo]]))</f>
        <v>193.63333333330002</v>
      </c>
      <c r="N258" s="24">
        <f>IF(Tabell2[[#This Row],[Beftettland]]&lt;=D$434,D$434,IF(Tabell2[[#This Row],[Beftettland]]&gt;=D$435,D$435,Tabell2[[#This Row],[Beftettland]]))</f>
        <v>6.7249495628782787</v>
      </c>
      <c r="O258" s="24">
        <f>IF(Tabell2[[#This Row],[Beftettotal]]&lt;=E$434,E$434,IF(Tabell2[[#This Row],[Beftettotal]]&gt;=E$435,E$435,Tabell2[[#This Row],[Beftettotal]]))</f>
        <v>6.2630480167014619</v>
      </c>
      <c r="P258" s="24">
        <f>IF(Tabell2[[#This Row],[Befvekst10]]&lt;=F$434,F$434,IF(Tabell2[[#This Row],[Befvekst10]]&gt;=F$435,F$435,Tabell2[[#This Row],[Befvekst10]]))</f>
        <v>-4.9751243781094301E-3</v>
      </c>
      <c r="Q258" s="24">
        <f>IF(Tabell2[[#This Row],[Kvinneandel]]&lt;=G$434,G$434,IF(Tabell2[[#This Row],[Kvinneandel]]&gt;=G$435,G$435,Tabell2[[#This Row],[Kvinneandel]]))</f>
        <v>0.11083333333333334</v>
      </c>
      <c r="R258" s="24">
        <f>IF(Tabell2[[#This Row],[Eldreandel]]&lt;=H$434,H$434,IF(Tabell2[[#This Row],[Eldreandel]]&gt;=H$435,H$435,Tabell2[[#This Row],[Eldreandel]]))</f>
        <v>0.17833333333333334</v>
      </c>
      <c r="S258" s="24">
        <f>IF(Tabell2[[#This Row],[Sysselsettingsvekst10]]&lt;=I$434,I$434,IF(Tabell2[[#This Row],[Sysselsettingsvekst10]]&gt;=I$435,I$435,Tabell2[[#This Row],[Sysselsettingsvekst10]]))</f>
        <v>-9.2570207570207563E-2</v>
      </c>
      <c r="T258" s="24">
        <f>IF(Tabell2[[#This Row],[Yrkesaktivandel]]&lt;=J$434,J$434,IF(Tabell2[[#This Row],[Yrkesaktivandel]]&gt;=J$435,J$435,Tabell2[[#This Row],[Yrkesaktivandel]]))</f>
        <v>0.94066914614326791</v>
      </c>
      <c r="U258" s="24">
        <f>IF(Tabell2[[#This Row],[Inntekt]]&lt;=K$434,K$434,IF(Tabell2[[#This Row],[Inntekt]]&gt;=K$435,K$435,Tabell2[[#This Row],[Inntekt]]))</f>
        <v>357400</v>
      </c>
      <c r="V258" s="7">
        <f>IF(Tabell2[[#This Row],[NIBR11-T]]&lt;=L$437,100,IF(Tabell2[[#This Row],[NIBR11-T]]&gt;=L$436,0,100*(L$436-Tabell2[[#This Row],[NIBR11-T]])/L$439))</f>
        <v>30</v>
      </c>
      <c r="W258" s="7">
        <f>(M$436-Tabell2[[#This Row],[ReisetidOslo-T]])*100/M$439</f>
        <v>38.094332723969771</v>
      </c>
      <c r="X258" s="7">
        <f>100-(N$436-Tabell2[[#This Row],[Beftettland-T]])*100/N$439</f>
        <v>3.9370045230534885</v>
      </c>
      <c r="Y258" s="7">
        <f>100-(O$436-Tabell2[[#This Row],[Beftettotal-T]])*100/O$439</f>
        <v>3.7850820255734448</v>
      </c>
      <c r="Z258" s="7">
        <f>100-(P$436-Tabell2[[#This Row],[Befvekst10-T]])*100/P$439</f>
        <v>26.749742463593307</v>
      </c>
      <c r="AA258" s="7">
        <f>100-(Q$436-Tabell2[[#This Row],[Kvinneandel-T]])*100/Q$439</f>
        <v>55.986483028245615</v>
      </c>
      <c r="AB258" s="7">
        <f>(R$436-Tabell2[[#This Row],[Eldreandel-T]])*100/R$439</f>
        <v>45.32398364148446</v>
      </c>
      <c r="AC258" s="7">
        <f>100-(S$436-Tabell2[[#This Row],[Sysselsettingsvekst10-T]])*100/S$439</f>
        <v>0</v>
      </c>
      <c r="AD258" s="7">
        <f>100-(T$436-Tabell2[[#This Row],[Yrkesaktivandel-T]])*100/T$439</f>
        <v>100</v>
      </c>
      <c r="AE258" s="7">
        <f>100-(U$436-Tabell2[[#This Row],[Inntekt-T]])*100/U$439</f>
        <v>14.659744949779935</v>
      </c>
      <c r="AF258" s="7">
        <v>6</v>
      </c>
      <c r="AG258" s="7">
        <v>3.8094332723969773</v>
      </c>
      <c r="AH258" s="7">
        <v>0.37850820255734452</v>
      </c>
      <c r="AI258" s="7">
        <v>5.3499484927186618</v>
      </c>
      <c r="AJ258" s="7">
        <v>2.7993241514122809</v>
      </c>
      <c r="AK258" s="7">
        <v>2.2661991820742231</v>
      </c>
      <c r="AL258" s="7">
        <v>0</v>
      </c>
      <c r="AM258" s="7">
        <v>10</v>
      </c>
      <c r="AN258" s="7">
        <v>1.4659744949779936</v>
      </c>
      <c r="AO25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32.069387796137484</v>
      </c>
    </row>
    <row r="259" spans="1:41" x14ac:dyDescent="0.3">
      <c r="A259" s="2" t="s">
        <v>256</v>
      </c>
      <c r="B259">
        <f>'Rådata-K'!N258</f>
        <v>9</v>
      </c>
      <c r="C259" s="7">
        <f>'Rådata-K'!M258</f>
        <v>165.96666666666999</v>
      </c>
      <c r="D259" s="24">
        <f>'Rådata-K'!O258</f>
        <v>6.0030513435252359</v>
      </c>
      <c r="E259" s="24">
        <f>'Rådata-K'!P258</f>
        <v>5.6130816633509628</v>
      </c>
      <c r="F259" s="24">
        <f>'Rådata-K'!Q258</f>
        <v>2.6001040041601087E-3</v>
      </c>
      <c r="G259" s="24">
        <f>'Rådata-K'!R258</f>
        <v>0.10338865836791147</v>
      </c>
      <c r="H259" s="24">
        <f>'Rådata-K'!S258</f>
        <v>0.18360995850622408</v>
      </c>
      <c r="I259" s="24">
        <f>'Rådata-K'!T258</f>
        <v>-1.0271460014673495E-2</v>
      </c>
      <c r="J259" s="24">
        <f>'Rådata-K'!U258</f>
        <v>0.96546106223525574</v>
      </c>
      <c r="K259" s="24">
        <f>'Rådata-K'!L258</f>
        <v>378800</v>
      </c>
      <c r="L259" s="24">
        <f>Tabell2[[#This Row],[NIBR11]]</f>
        <v>9</v>
      </c>
      <c r="M259" s="24">
        <f>IF(Tabell2[[#This Row],[ReisetidOslo]]&lt;=C$434,C$434,IF(Tabell2[[#This Row],[ReisetidOslo]]&gt;=C$435,C$435,Tabell2[[#This Row],[ReisetidOslo]]))</f>
        <v>165.96666666666999</v>
      </c>
      <c r="N259" s="24">
        <f>IF(Tabell2[[#This Row],[Beftettland]]&lt;=D$434,D$434,IF(Tabell2[[#This Row],[Beftettland]]&gt;=D$435,D$435,Tabell2[[#This Row],[Beftettland]]))</f>
        <v>6.0030513435252359</v>
      </c>
      <c r="O259" s="24">
        <f>IF(Tabell2[[#This Row],[Beftettotal]]&lt;=E$434,E$434,IF(Tabell2[[#This Row],[Beftettotal]]&gt;=E$435,E$435,Tabell2[[#This Row],[Beftettotal]]))</f>
        <v>5.6130816633509628</v>
      </c>
      <c r="P259" s="24">
        <f>IF(Tabell2[[#This Row],[Befvekst10]]&lt;=F$434,F$434,IF(Tabell2[[#This Row],[Befvekst10]]&gt;=F$435,F$435,Tabell2[[#This Row],[Befvekst10]]))</f>
        <v>2.6001040041601087E-3</v>
      </c>
      <c r="Q259" s="24">
        <f>IF(Tabell2[[#This Row],[Kvinneandel]]&lt;=G$434,G$434,IF(Tabell2[[#This Row],[Kvinneandel]]&gt;=G$435,G$435,Tabell2[[#This Row],[Kvinneandel]]))</f>
        <v>0.10338865836791147</v>
      </c>
      <c r="R259" s="24">
        <f>IF(Tabell2[[#This Row],[Eldreandel]]&lt;=H$434,H$434,IF(Tabell2[[#This Row],[Eldreandel]]&gt;=H$435,H$435,Tabell2[[#This Row],[Eldreandel]]))</f>
        <v>0.18360995850622408</v>
      </c>
      <c r="S259" s="24">
        <f>IF(Tabell2[[#This Row],[Sysselsettingsvekst10]]&lt;=I$434,I$434,IF(Tabell2[[#This Row],[Sysselsettingsvekst10]]&gt;=I$435,I$435,Tabell2[[#This Row],[Sysselsettingsvekst10]]))</f>
        <v>-1.0271460014673495E-2</v>
      </c>
      <c r="T259" s="24">
        <f>IF(Tabell2[[#This Row],[Yrkesaktivandel]]&lt;=J$434,J$434,IF(Tabell2[[#This Row],[Yrkesaktivandel]]&gt;=J$435,J$435,Tabell2[[#This Row],[Yrkesaktivandel]]))</f>
        <v>0.94066914614326791</v>
      </c>
      <c r="U259" s="24">
        <f>IF(Tabell2[[#This Row],[Inntekt]]&lt;=K$434,K$434,IF(Tabell2[[#This Row],[Inntekt]]&gt;=K$435,K$435,Tabell2[[#This Row],[Inntekt]]))</f>
        <v>378800</v>
      </c>
      <c r="V259" s="7">
        <f>IF(Tabell2[[#This Row],[NIBR11-T]]&lt;=L$437,100,IF(Tabell2[[#This Row],[NIBR11-T]]&gt;=L$436,0,100*(L$436-Tabell2[[#This Row],[NIBR11-T]])/L$439))</f>
        <v>20</v>
      </c>
      <c r="W259" s="7">
        <f>(M$436-Tabell2[[#This Row],[ReisetidOslo-T]])*100/M$439</f>
        <v>50.2332723948848</v>
      </c>
      <c r="X259" s="7">
        <f>100-(N$436-Tabell2[[#This Row],[Beftettland-T]])*100/N$439</f>
        <v>3.4030137074718709</v>
      </c>
      <c r="Y259" s="7">
        <f>100-(O$436-Tabell2[[#This Row],[Beftettotal-T]])*100/O$439</f>
        <v>3.2875727124653764</v>
      </c>
      <c r="Z259" s="7">
        <f>100-(P$436-Tabell2[[#This Row],[Befvekst10-T]])*100/P$439</f>
        <v>29.815899870693485</v>
      </c>
      <c r="AA259" s="7">
        <f>100-(Q$436-Tabell2[[#This Row],[Kvinneandel-T]])*100/Q$439</f>
        <v>36.428925307496094</v>
      </c>
      <c r="AB259" s="7">
        <f>(R$436-Tabell2[[#This Row],[Eldreandel-T]])*100/R$439</f>
        <v>39.629160417228491</v>
      </c>
      <c r="AC259" s="7">
        <f>100-(S$436-Tabell2[[#This Row],[Sysselsettingsvekst10-T]])*100/S$439</f>
        <v>26.858303322288805</v>
      </c>
      <c r="AD259" s="7">
        <f>100-(T$436-Tabell2[[#This Row],[Yrkesaktivandel-T]])*100/T$439</f>
        <v>100</v>
      </c>
      <c r="AE259" s="7">
        <f>100-(U$436-Tabell2[[#This Row],[Inntekt-T]])*100/U$439</f>
        <v>38.810518000225706</v>
      </c>
      <c r="AF259" s="7">
        <v>4</v>
      </c>
      <c r="AG259" s="7">
        <v>5.0233272394884807</v>
      </c>
      <c r="AH259" s="7">
        <v>0.32875727124653764</v>
      </c>
      <c r="AI259" s="7">
        <v>5.963179974138697</v>
      </c>
      <c r="AJ259" s="7">
        <v>1.8214462653748047</v>
      </c>
      <c r="AK259" s="7">
        <v>1.9814580208614245</v>
      </c>
      <c r="AL259" s="7">
        <v>2.6858303322288806</v>
      </c>
      <c r="AM259" s="7">
        <v>10</v>
      </c>
      <c r="AN259" s="7">
        <v>3.8810518000225707</v>
      </c>
      <c r="AO25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35.685050903361393</v>
      </c>
    </row>
    <row r="260" spans="1:41" x14ac:dyDescent="0.3">
      <c r="A260" s="2" t="s">
        <v>257</v>
      </c>
      <c r="B260">
        <f>'Rådata-K'!N259</f>
        <v>8</v>
      </c>
      <c r="C260" s="7">
        <f>'Rådata-K'!M259</f>
        <v>202.6</v>
      </c>
      <c r="D260" s="24">
        <f>'Rådata-K'!O259</f>
        <v>5.4255351357897599</v>
      </c>
      <c r="E260" s="24">
        <f>'Rådata-K'!P259</f>
        <v>5.2048010804609381</v>
      </c>
      <c r="F260" s="24">
        <f>'Rådata-K'!Q259</f>
        <v>5.7383094851747973E-2</v>
      </c>
      <c r="G260" s="24">
        <f>'Rådata-K'!R259</f>
        <v>0.10435267857142858</v>
      </c>
      <c r="H260" s="24">
        <f>'Rådata-K'!S259</f>
        <v>0.16183035714285715</v>
      </c>
      <c r="I260" s="24">
        <f>'Rådata-K'!T259</f>
        <v>1.6000000000000458E-3</v>
      </c>
      <c r="J260" s="24">
        <f>'Rådata-K'!U259</f>
        <v>0.94884653961885657</v>
      </c>
      <c r="K260" s="24">
        <f>'Rådata-K'!L259</f>
        <v>368100</v>
      </c>
      <c r="L260" s="24">
        <f>Tabell2[[#This Row],[NIBR11]]</f>
        <v>8</v>
      </c>
      <c r="M260" s="24">
        <f>IF(Tabell2[[#This Row],[ReisetidOslo]]&lt;=C$434,C$434,IF(Tabell2[[#This Row],[ReisetidOslo]]&gt;=C$435,C$435,Tabell2[[#This Row],[ReisetidOslo]]))</f>
        <v>202.6</v>
      </c>
      <c r="N260" s="24">
        <f>IF(Tabell2[[#This Row],[Beftettland]]&lt;=D$434,D$434,IF(Tabell2[[#This Row],[Beftettland]]&gt;=D$435,D$435,Tabell2[[#This Row],[Beftettland]]))</f>
        <v>5.4255351357897599</v>
      </c>
      <c r="O260" s="24">
        <f>IF(Tabell2[[#This Row],[Beftettotal]]&lt;=E$434,E$434,IF(Tabell2[[#This Row],[Beftettotal]]&gt;=E$435,E$435,Tabell2[[#This Row],[Beftettotal]]))</f>
        <v>5.2048010804609381</v>
      </c>
      <c r="P260" s="24">
        <f>IF(Tabell2[[#This Row],[Befvekst10]]&lt;=F$434,F$434,IF(Tabell2[[#This Row],[Befvekst10]]&gt;=F$435,F$435,Tabell2[[#This Row],[Befvekst10]]))</f>
        <v>5.7383094851747973E-2</v>
      </c>
      <c r="Q260" s="24">
        <f>IF(Tabell2[[#This Row],[Kvinneandel]]&lt;=G$434,G$434,IF(Tabell2[[#This Row],[Kvinneandel]]&gt;=G$435,G$435,Tabell2[[#This Row],[Kvinneandel]]))</f>
        <v>0.10435267857142858</v>
      </c>
      <c r="R260" s="24">
        <f>IF(Tabell2[[#This Row],[Eldreandel]]&lt;=H$434,H$434,IF(Tabell2[[#This Row],[Eldreandel]]&gt;=H$435,H$435,Tabell2[[#This Row],[Eldreandel]]))</f>
        <v>0.16183035714285715</v>
      </c>
      <c r="S260" s="24">
        <f>IF(Tabell2[[#This Row],[Sysselsettingsvekst10]]&lt;=I$434,I$434,IF(Tabell2[[#This Row],[Sysselsettingsvekst10]]&gt;=I$435,I$435,Tabell2[[#This Row],[Sysselsettingsvekst10]]))</f>
        <v>1.6000000000000458E-3</v>
      </c>
      <c r="T260" s="24">
        <f>IF(Tabell2[[#This Row],[Yrkesaktivandel]]&lt;=J$434,J$434,IF(Tabell2[[#This Row],[Yrkesaktivandel]]&gt;=J$435,J$435,Tabell2[[#This Row],[Yrkesaktivandel]]))</f>
        <v>0.94066914614326791</v>
      </c>
      <c r="U260" s="24">
        <f>IF(Tabell2[[#This Row],[Inntekt]]&lt;=K$434,K$434,IF(Tabell2[[#This Row],[Inntekt]]&gt;=K$435,K$435,Tabell2[[#This Row],[Inntekt]]))</f>
        <v>368100</v>
      </c>
      <c r="V260" s="7">
        <f>IF(Tabell2[[#This Row],[NIBR11-T]]&lt;=L$437,100,IF(Tabell2[[#This Row],[NIBR11-T]]&gt;=L$436,0,100*(L$436-Tabell2[[#This Row],[NIBR11-T]])/L$439))</f>
        <v>30</v>
      </c>
      <c r="W260" s="7">
        <f>(M$436-Tabell2[[#This Row],[ReisetidOslo-T]])*100/M$439</f>
        <v>34.160146252291938</v>
      </c>
      <c r="X260" s="7">
        <f>100-(N$436-Tabell2[[#This Row],[Beftettland-T]])*100/N$439</f>
        <v>2.9758228064378613</v>
      </c>
      <c r="Y260" s="7">
        <f>100-(O$436-Tabell2[[#This Row],[Beftettotal-T]])*100/O$439</f>
        <v>2.9750590087914759</v>
      </c>
      <c r="Z260" s="7">
        <f>100-(P$436-Tabell2[[#This Row],[Befvekst10-T]])*100/P$439</f>
        <v>51.989920863062331</v>
      </c>
      <c r="AA260" s="7">
        <f>100-(Q$436-Tabell2[[#This Row],[Kvinneandel-T]])*100/Q$439</f>
        <v>38.961457736624929</v>
      </c>
      <c r="AB260" s="7">
        <f>(R$436-Tabell2[[#This Row],[Eldreandel-T]])*100/R$439</f>
        <v>63.134900467964393</v>
      </c>
      <c r="AC260" s="7">
        <f>100-(S$436-Tabell2[[#This Row],[Sysselsettingsvekst10-T]])*100/S$439</f>
        <v>30.732569740952968</v>
      </c>
      <c r="AD260" s="7">
        <f>100-(T$436-Tabell2[[#This Row],[Yrkesaktivandel-T]])*100/T$439</f>
        <v>100</v>
      </c>
      <c r="AE260" s="7">
        <f>100-(U$436-Tabell2[[#This Row],[Inntekt-T]])*100/U$439</f>
        <v>26.735131475002817</v>
      </c>
      <c r="AF260" s="7">
        <v>6</v>
      </c>
      <c r="AG260" s="7">
        <v>3.4160146252291939</v>
      </c>
      <c r="AH260" s="7">
        <v>0.29750590087914758</v>
      </c>
      <c r="AI260" s="7">
        <v>10.397984172612468</v>
      </c>
      <c r="AJ260" s="7">
        <v>1.9480728868312465</v>
      </c>
      <c r="AK260" s="7">
        <v>3.1567450233982197</v>
      </c>
      <c r="AL260" s="7">
        <v>3.0732569740952971</v>
      </c>
      <c r="AM260" s="7">
        <v>10</v>
      </c>
      <c r="AN260" s="7">
        <v>2.673513147500282</v>
      </c>
      <c r="AO26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40.963092730545853</v>
      </c>
    </row>
    <row r="261" spans="1:41" x14ac:dyDescent="0.3">
      <c r="A261" s="2" t="s">
        <v>258</v>
      </c>
      <c r="B261">
        <f>'Rådata-K'!N260</f>
        <v>4</v>
      </c>
      <c r="C261" s="7">
        <f>'Rådata-K'!M260</f>
        <v>156.03333333333001</v>
      </c>
      <c r="D261" s="24">
        <f>'Rådata-K'!O260</f>
        <v>75.197614560184533</v>
      </c>
      <c r="E261" s="24">
        <f>'Rådata-K'!P260</f>
        <v>73.710913803562562</v>
      </c>
      <c r="F261" s="24">
        <f>'Rådata-K'!Q260</f>
        <v>0.107098484220989</v>
      </c>
      <c r="G261" s="24">
        <f>'Rådata-K'!R260</f>
        <v>0.12621577136016759</v>
      </c>
      <c r="H261" s="24">
        <f>'Rådata-K'!S260</f>
        <v>0.15528205895555888</v>
      </c>
      <c r="I261" s="24">
        <f>'Rådata-K'!T260</f>
        <v>0.15797628671517105</v>
      </c>
      <c r="J261" s="24">
        <f>'Rådata-K'!U260</f>
        <v>0.87852619458837078</v>
      </c>
      <c r="K261" s="24">
        <f>'Rådata-K'!L260</f>
        <v>425300</v>
      </c>
      <c r="L261" s="24">
        <f>Tabell2[[#This Row],[NIBR11]]</f>
        <v>4</v>
      </c>
      <c r="M261" s="24">
        <f>IF(Tabell2[[#This Row],[ReisetidOslo]]&lt;=C$434,C$434,IF(Tabell2[[#This Row],[ReisetidOslo]]&gt;=C$435,C$435,Tabell2[[#This Row],[ReisetidOslo]]))</f>
        <v>156.03333333333001</v>
      </c>
      <c r="N261" s="24">
        <f>IF(Tabell2[[#This Row],[Beftettland]]&lt;=D$434,D$434,IF(Tabell2[[#This Row],[Beftettland]]&gt;=D$435,D$435,Tabell2[[#This Row],[Beftettland]]))</f>
        <v>75.197614560184533</v>
      </c>
      <c r="O261" s="24">
        <f>IF(Tabell2[[#This Row],[Beftettotal]]&lt;=E$434,E$434,IF(Tabell2[[#This Row],[Beftettotal]]&gt;=E$435,E$435,Tabell2[[#This Row],[Beftettotal]]))</f>
        <v>73.710913803562562</v>
      </c>
      <c r="P261" s="24">
        <f>IF(Tabell2[[#This Row],[Befvekst10]]&lt;=F$434,F$434,IF(Tabell2[[#This Row],[Befvekst10]]&gt;=F$435,F$435,Tabell2[[#This Row],[Befvekst10]]))</f>
        <v>0.107098484220989</v>
      </c>
      <c r="Q261" s="24">
        <f>IF(Tabell2[[#This Row],[Kvinneandel]]&lt;=G$434,G$434,IF(Tabell2[[#This Row],[Kvinneandel]]&gt;=G$435,G$435,Tabell2[[#This Row],[Kvinneandel]]))</f>
        <v>0.12621577136016759</v>
      </c>
      <c r="R261" s="24">
        <f>IF(Tabell2[[#This Row],[Eldreandel]]&lt;=H$434,H$434,IF(Tabell2[[#This Row],[Eldreandel]]&gt;=H$435,H$435,Tabell2[[#This Row],[Eldreandel]]))</f>
        <v>0.15528205895555888</v>
      </c>
      <c r="S261" s="24">
        <f>IF(Tabell2[[#This Row],[Sysselsettingsvekst10]]&lt;=I$434,I$434,IF(Tabell2[[#This Row],[Sysselsettingsvekst10]]&gt;=I$435,I$435,Tabell2[[#This Row],[Sysselsettingsvekst10]]))</f>
        <v>0.15797628671517105</v>
      </c>
      <c r="T261" s="24">
        <f>IF(Tabell2[[#This Row],[Yrkesaktivandel]]&lt;=J$434,J$434,IF(Tabell2[[#This Row],[Yrkesaktivandel]]&gt;=J$435,J$435,Tabell2[[#This Row],[Yrkesaktivandel]]))</f>
        <v>0.87852619458837078</v>
      </c>
      <c r="U261" s="24">
        <f>IF(Tabell2[[#This Row],[Inntekt]]&lt;=K$434,K$434,IF(Tabell2[[#This Row],[Inntekt]]&gt;=K$435,K$435,Tabell2[[#This Row],[Inntekt]]))</f>
        <v>425300</v>
      </c>
      <c r="V261" s="7">
        <f>IF(Tabell2[[#This Row],[NIBR11-T]]&lt;=L$437,100,IF(Tabell2[[#This Row],[NIBR11-T]]&gt;=L$436,0,100*(L$436-Tabell2[[#This Row],[NIBR11-T]])/L$439))</f>
        <v>70</v>
      </c>
      <c r="W261" s="7">
        <f>(M$436-Tabell2[[#This Row],[ReisetidOslo-T]])*100/M$439</f>
        <v>54.591590493607569</v>
      </c>
      <c r="X261" s="7">
        <f>100-(N$436-Tabell2[[#This Row],[Beftettland-T]])*100/N$439</f>
        <v>54.586491177455862</v>
      </c>
      <c r="Y261" s="7">
        <f>100-(O$436-Tabell2[[#This Row],[Beftettotal-T]])*100/O$439</f>
        <v>55.41227965703505</v>
      </c>
      <c r="Z261" s="7">
        <f>100-(P$436-Tabell2[[#This Row],[Befvekst10-T]])*100/P$439</f>
        <v>72.112774151308471</v>
      </c>
      <c r="AA261" s="7">
        <f>100-(Q$436-Tabell2[[#This Row],[Kvinneandel-T]])*100/Q$439</f>
        <v>96.396967165294228</v>
      </c>
      <c r="AB261" s="7">
        <f>(R$436-Tabell2[[#This Row],[Eldreandel-T]])*100/R$439</f>
        <v>70.202182940096066</v>
      </c>
      <c r="AC261" s="7">
        <f>100-(S$436-Tabell2[[#This Row],[Sysselsettingsvekst10-T]])*100/S$439</f>
        <v>81.766174331049058</v>
      </c>
      <c r="AD261" s="7">
        <f>100-(T$436-Tabell2[[#This Row],[Yrkesaktivandel-T]])*100/T$439</f>
        <v>56.170960160552788</v>
      </c>
      <c r="AE261" s="7">
        <f>100-(U$436-Tabell2[[#This Row],[Inntekt-T]])*100/U$439</f>
        <v>91.28766504909153</v>
      </c>
      <c r="AF261" s="7">
        <v>14</v>
      </c>
      <c r="AG261" s="7">
        <v>5.4591590493607569</v>
      </c>
      <c r="AH261" s="7">
        <v>5.5412279657035057</v>
      </c>
      <c r="AI261" s="7">
        <v>14.422554830261696</v>
      </c>
      <c r="AJ261" s="7">
        <v>4.8198483582647116</v>
      </c>
      <c r="AK261" s="7">
        <v>3.5101091470048034</v>
      </c>
      <c r="AL261" s="7">
        <v>8.1766174331049069</v>
      </c>
      <c r="AM261" s="7">
        <v>5.617096016055279</v>
      </c>
      <c r="AN261" s="7">
        <v>9.1287665049091533</v>
      </c>
      <c r="AO26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70.675379304664816</v>
      </c>
    </row>
    <row r="262" spans="1:41" x14ac:dyDescent="0.3">
      <c r="A262" s="2" t="s">
        <v>259</v>
      </c>
      <c r="B262">
        <f>'Rådata-K'!N261</f>
        <v>4</v>
      </c>
      <c r="C262" s="7">
        <f>'Rådata-K'!M261</f>
        <v>169.5</v>
      </c>
      <c r="D262" s="24">
        <f>'Rådata-K'!O261</f>
        <v>501.7387571106579</v>
      </c>
      <c r="E262" s="24">
        <f>'Rådata-K'!P261</f>
        <v>474.01135672277428</v>
      </c>
      <c r="F262" s="24">
        <f>'Rådata-K'!Q261</f>
        <v>0.14573172226170916</v>
      </c>
      <c r="G262" s="24">
        <f>'Rådata-K'!R261</f>
        <v>0.13250048131430894</v>
      </c>
      <c r="H262" s="24">
        <f>'Rådata-K'!S261</f>
        <v>0.13647934626820973</v>
      </c>
      <c r="I262" s="24">
        <f>'Rådata-K'!T261</f>
        <v>0.16285460618103409</v>
      </c>
      <c r="J262" s="24">
        <f>'Rådata-K'!U261</f>
        <v>0.85677157504984336</v>
      </c>
      <c r="K262" s="24">
        <f>'Rådata-K'!L261</f>
        <v>426600</v>
      </c>
      <c r="L262" s="24">
        <f>Tabell2[[#This Row],[NIBR11]]</f>
        <v>4</v>
      </c>
      <c r="M262" s="24">
        <f>IF(Tabell2[[#This Row],[ReisetidOslo]]&lt;=C$434,C$434,IF(Tabell2[[#This Row],[ReisetidOslo]]&gt;=C$435,C$435,Tabell2[[#This Row],[ReisetidOslo]]))</f>
        <v>169.5</v>
      </c>
      <c r="N262" s="24">
        <f>IF(Tabell2[[#This Row],[Beftettland]]&lt;=D$434,D$434,IF(Tabell2[[#This Row],[Beftettland]]&gt;=D$435,D$435,Tabell2[[#This Row],[Beftettland]]))</f>
        <v>136.59179999736304</v>
      </c>
      <c r="O262" s="24">
        <f>IF(Tabell2[[#This Row],[Beftettotal]]&lt;=E$434,E$434,IF(Tabell2[[#This Row],[Beftettotal]]&gt;=E$435,E$435,Tabell2[[#This Row],[Beftettotal]]))</f>
        <v>131.96212083018065</v>
      </c>
      <c r="P262" s="24">
        <f>IF(Tabell2[[#This Row],[Befvekst10]]&lt;=F$434,F$434,IF(Tabell2[[#This Row],[Befvekst10]]&gt;=F$435,F$435,Tabell2[[#This Row],[Befvekst10]]))</f>
        <v>0.14573172226170916</v>
      </c>
      <c r="Q262" s="24">
        <f>IF(Tabell2[[#This Row],[Kvinneandel]]&lt;=G$434,G$434,IF(Tabell2[[#This Row],[Kvinneandel]]&gt;=G$435,G$435,Tabell2[[#This Row],[Kvinneandel]]))</f>
        <v>0.12758728250318055</v>
      </c>
      <c r="R262" s="24">
        <f>IF(Tabell2[[#This Row],[Eldreandel]]&lt;=H$434,H$434,IF(Tabell2[[#This Row],[Eldreandel]]&gt;=H$435,H$435,Tabell2[[#This Row],[Eldreandel]]))</f>
        <v>0.13647934626820973</v>
      </c>
      <c r="S262" s="24">
        <f>IF(Tabell2[[#This Row],[Sysselsettingsvekst10]]&lt;=I$434,I$434,IF(Tabell2[[#This Row],[Sysselsettingsvekst10]]&gt;=I$435,I$435,Tabell2[[#This Row],[Sysselsettingsvekst10]]))</f>
        <v>0.16285460618103409</v>
      </c>
      <c r="T262" s="24">
        <f>IF(Tabell2[[#This Row],[Yrkesaktivandel]]&lt;=J$434,J$434,IF(Tabell2[[#This Row],[Yrkesaktivandel]]&gt;=J$435,J$435,Tabell2[[#This Row],[Yrkesaktivandel]]))</f>
        <v>0.85677157504984336</v>
      </c>
      <c r="U262" s="24">
        <f>IF(Tabell2[[#This Row],[Inntekt]]&lt;=K$434,K$434,IF(Tabell2[[#This Row],[Inntekt]]&gt;=K$435,K$435,Tabell2[[#This Row],[Inntekt]]))</f>
        <v>426600</v>
      </c>
      <c r="V262" s="7">
        <f>IF(Tabell2[[#This Row],[NIBR11-T]]&lt;=L$437,100,IF(Tabell2[[#This Row],[NIBR11-T]]&gt;=L$436,0,100*(L$436-Tabell2[[#This Row],[NIBR11-T]])/L$439))</f>
        <v>70</v>
      </c>
      <c r="W262" s="7">
        <f>(M$436-Tabell2[[#This Row],[ReisetidOslo-T]])*100/M$439</f>
        <v>48.682998171851693</v>
      </c>
      <c r="X262" s="7">
        <f>100-(N$436-Tabell2[[#This Row],[Beftettland-T]])*100/N$439</f>
        <v>100</v>
      </c>
      <c r="Y262" s="7">
        <f>100-(O$436-Tabell2[[#This Row],[Beftettotal-T]])*100/O$439</f>
        <v>100</v>
      </c>
      <c r="Z262" s="7">
        <f>100-(P$436-Tabell2[[#This Row],[Befvekst10-T]])*100/P$439</f>
        <v>87.750004212394671</v>
      </c>
      <c r="AA262" s="7">
        <f>100-(Q$436-Tabell2[[#This Row],[Kvinneandel-T]])*100/Q$439</f>
        <v>100</v>
      </c>
      <c r="AB262" s="7">
        <f>(R$436-Tabell2[[#This Row],[Eldreandel-T]])*100/R$439</f>
        <v>90.495101497406978</v>
      </c>
      <c r="AC262" s="7">
        <f>100-(S$436-Tabell2[[#This Row],[Sysselsettingsvekst10-T]])*100/S$439</f>
        <v>83.358220234648769</v>
      </c>
      <c r="AD262" s="7">
        <f>100-(T$436-Tabell2[[#This Row],[Yrkesaktivandel-T]])*100/T$439</f>
        <v>40.82756139064039</v>
      </c>
      <c r="AE262" s="7">
        <f>100-(U$436-Tabell2[[#This Row],[Inntekt-T]])*100/U$439</f>
        <v>92.754768084866271</v>
      </c>
      <c r="AF262" s="7">
        <v>14</v>
      </c>
      <c r="AG262" s="7">
        <v>4.8682998171851697</v>
      </c>
      <c r="AH262" s="7">
        <v>10</v>
      </c>
      <c r="AI262" s="7">
        <v>17.550000842478934</v>
      </c>
      <c r="AJ262" s="7">
        <v>5</v>
      </c>
      <c r="AK262" s="7">
        <v>4.5247550748703489</v>
      </c>
      <c r="AL262" s="7">
        <v>8.3358220234648766</v>
      </c>
      <c r="AM262" s="7">
        <v>4.0827561390640392</v>
      </c>
      <c r="AN262" s="7">
        <v>9.2754768084866281</v>
      </c>
      <c r="AO26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77.63711070555</v>
      </c>
    </row>
    <row r="263" spans="1:41" x14ac:dyDescent="0.3">
      <c r="A263" s="2" t="s">
        <v>260</v>
      </c>
      <c r="B263">
        <f>'Rådata-K'!N262</f>
        <v>5</v>
      </c>
      <c r="C263" s="7">
        <f>'Rådata-K'!M262</f>
        <v>163.16666666666998</v>
      </c>
      <c r="D263" s="24">
        <f>'Rådata-K'!O262</f>
        <v>284.72254469468305</v>
      </c>
      <c r="E263" s="24">
        <f>'Rådata-K'!P262</f>
        <v>280.68207827878234</v>
      </c>
      <c r="F263" s="24">
        <f>'Rådata-K'!Q262</f>
        <v>9.2618167238383675E-2</v>
      </c>
      <c r="G263" s="24">
        <f>'Rådata-K'!R262</f>
        <v>0.11811954660360434</v>
      </c>
      <c r="H263" s="24">
        <f>'Rådata-K'!S262</f>
        <v>0.15363287939329692</v>
      </c>
      <c r="I263" s="24">
        <f>'Rådata-K'!T262</f>
        <v>0.12237829517029053</v>
      </c>
      <c r="J263" s="24">
        <f>'Rådata-K'!U262</f>
        <v>0.80553052879617437</v>
      </c>
      <c r="K263" s="24">
        <f>'Rådata-K'!L262</f>
        <v>410900</v>
      </c>
      <c r="L263" s="24">
        <f>Tabell2[[#This Row],[NIBR11]]</f>
        <v>5</v>
      </c>
      <c r="M263" s="24">
        <f>IF(Tabell2[[#This Row],[ReisetidOslo]]&lt;=C$434,C$434,IF(Tabell2[[#This Row],[ReisetidOslo]]&gt;=C$435,C$435,Tabell2[[#This Row],[ReisetidOslo]]))</f>
        <v>163.16666666666998</v>
      </c>
      <c r="N263" s="24">
        <f>IF(Tabell2[[#This Row],[Beftettland]]&lt;=D$434,D$434,IF(Tabell2[[#This Row],[Beftettland]]&gt;=D$435,D$435,Tabell2[[#This Row],[Beftettland]]))</f>
        <v>136.59179999736304</v>
      </c>
      <c r="O263" s="24">
        <f>IF(Tabell2[[#This Row],[Beftettotal]]&lt;=E$434,E$434,IF(Tabell2[[#This Row],[Beftettotal]]&gt;=E$435,E$435,Tabell2[[#This Row],[Beftettotal]]))</f>
        <v>131.96212083018065</v>
      </c>
      <c r="P263" s="24">
        <f>IF(Tabell2[[#This Row],[Befvekst10]]&lt;=F$434,F$434,IF(Tabell2[[#This Row],[Befvekst10]]&gt;=F$435,F$435,Tabell2[[#This Row],[Befvekst10]]))</f>
        <v>9.2618167238383675E-2</v>
      </c>
      <c r="Q263" s="24">
        <f>IF(Tabell2[[#This Row],[Kvinneandel]]&lt;=G$434,G$434,IF(Tabell2[[#This Row],[Kvinneandel]]&gt;=G$435,G$435,Tabell2[[#This Row],[Kvinneandel]]))</f>
        <v>0.11811954660360434</v>
      </c>
      <c r="R263" s="24">
        <f>IF(Tabell2[[#This Row],[Eldreandel]]&lt;=H$434,H$434,IF(Tabell2[[#This Row],[Eldreandel]]&gt;=H$435,H$435,Tabell2[[#This Row],[Eldreandel]]))</f>
        <v>0.15363287939329692</v>
      </c>
      <c r="S263" s="24">
        <f>IF(Tabell2[[#This Row],[Sysselsettingsvekst10]]&lt;=I$434,I$434,IF(Tabell2[[#This Row],[Sysselsettingsvekst10]]&gt;=I$435,I$435,Tabell2[[#This Row],[Sysselsettingsvekst10]]))</f>
        <v>0.12237829517029053</v>
      </c>
      <c r="T263" s="24">
        <f>IF(Tabell2[[#This Row],[Yrkesaktivandel]]&lt;=J$434,J$434,IF(Tabell2[[#This Row],[Yrkesaktivandel]]&gt;=J$435,J$435,Tabell2[[#This Row],[Yrkesaktivandel]]))</f>
        <v>0.80553052879617437</v>
      </c>
      <c r="U263" s="24">
        <f>IF(Tabell2[[#This Row],[Inntekt]]&lt;=K$434,K$434,IF(Tabell2[[#This Row],[Inntekt]]&gt;=K$435,K$435,Tabell2[[#This Row],[Inntekt]]))</f>
        <v>410900</v>
      </c>
      <c r="V263" s="7">
        <f>IF(Tabell2[[#This Row],[NIBR11-T]]&lt;=L$437,100,IF(Tabell2[[#This Row],[NIBR11-T]]&gt;=L$436,0,100*(L$436-Tabell2[[#This Row],[NIBR11-T]])/L$439))</f>
        <v>60</v>
      </c>
      <c r="W263" s="7">
        <f>(M$436-Tabell2[[#This Row],[ReisetidOslo-T]])*100/M$439</f>
        <v>51.461791590497114</v>
      </c>
      <c r="X263" s="7">
        <f>100-(N$436-Tabell2[[#This Row],[Beftettland-T]])*100/N$439</f>
        <v>100</v>
      </c>
      <c r="Y263" s="7">
        <f>100-(O$436-Tabell2[[#This Row],[Beftettotal-T]])*100/O$439</f>
        <v>100</v>
      </c>
      <c r="Z263" s="7">
        <f>100-(P$436-Tabell2[[#This Row],[Befvekst10-T]])*100/P$439</f>
        <v>66.251705820049523</v>
      </c>
      <c r="AA263" s="7">
        <f>100-(Q$436-Tabell2[[#This Row],[Kvinneandel-T]])*100/Q$439</f>
        <v>75.127753434393043</v>
      </c>
      <c r="AB263" s="7">
        <f>(R$436-Tabell2[[#This Row],[Eldreandel-T]])*100/R$439</f>
        <v>71.982067954553614</v>
      </c>
      <c r="AC263" s="7">
        <f>100-(S$436-Tabell2[[#This Row],[Sysselsettingsvekst10-T]])*100/S$439</f>
        <v>70.148723483069773</v>
      </c>
      <c r="AD263" s="7">
        <f>100-(T$436-Tabell2[[#This Row],[Yrkesaktivandel-T]])*100/T$439</f>
        <v>4.6875680129033697</v>
      </c>
      <c r="AE263" s="7">
        <f>100-(U$436-Tabell2[[#This Row],[Inntekt-T]])*100/U$439</f>
        <v>75.036677575894373</v>
      </c>
      <c r="AF263" s="7">
        <v>12</v>
      </c>
      <c r="AG263" s="7">
        <v>5.1461791590497121</v>
      </c>
      <c r="AH263" s="7">
        <v>10</v>
      </c>
      <c r="AI263" s="7">
        <v>13.250341164009905</v>
      </c>
      <c r="AJ263" s="7">
        <v>3.7563876717196525</v>
      </c>
      <c r="AK263" s="7">
        <v>3.599103397727681</v>
      </c>
      <c r="AL263" s="7">
        <v>7.0148723483069775</v>
      </c>
      <c r="AM263" s="7">
        <v>0.46875680129033698</v>
      </c>
      <c r="AN263" s="7">
        <v>7.5036677575894375</v>
      </c>
      <c r="AO26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62.739308299693711</v>
      </c>
    </row>
    <row r="264" spans="1:41" x14ac:dyDescent="0.3">
      <c r="A264" s="2" t="s">
        <v>261</v>
      </c>
      <c r="B264">
        <f>'Rådata-K'!N263</f>
        <v>11</v>
      </c>
      <c r="C264" s="7">
        <f>'Rådata-K'!M263</f>
        <v>221.65</v>
      </c>
      <c r="D264" s="24">
        <f>'Rådata-K'!O263</f>
        <v>8.9137100306614112</v>
      </c>
      <c r="E264" s="24">
        <f>'Rådata-K'!P263</f>
        <v>8.4525323849328942</v>
      </c>
      <c r="F264" s="24">
        <f>'Rådata-K'!Q263</f>
        <v>-9.2783505154639179E-2</v>
      </c>
      <c r="G264" s="24">
        <f>'Rådata-K'!R263</f>
        <v>8.8452088452088448E-2</v>
      </c>
      <c r="H264" s="24">
        <f>'Rådata-K'!S263</f>
        <v>0.22328009828009829</v>
      </c>
      <c r="I264" s="24">
        <f>'Rådata-K'!T263</f>
        <v>-5.9167275383491647E-2</v>
      </c>
      <c r="J264" s="24">
        <f>'Rådata-K'!U263</f>
        <v>0.90352397458116696</v>
      </c>
      <c r="K264" s="24">
        <f>'Rådata-K'!L263</f>
        <v>385900</v>
      </c>
      <c r="L264" s="24">
        <f>Tabell2[[#This Row],[NIBR11]]</f>
        <v>11</v>
      </c>
      <c r="M264" s="24">
        <f>IF(Tabell2[[#This Row],[ReisetidOslo]]&lt;=C$434,C$434,IF(Tabell2[[#This Row],[ReisetidOslo]]&gt;=C$435,C$435,Tabell2[[#This Row],[ReisetidOslo]]))</f>
        <v>221.65</v>
      </c>
      <c r="N264" s="24">
        <f>IF(Tabell2[[#This Row],[Beftettland]]&lt;=D$434,D$434,IF(Tabell2[[#This Row],[Beftettland]]&gt;=D$435,D$435,Tabell2[[#This Row],[Beftettland]]))</f>
        <v>8.9137100306614112</v>
      </c>
      <c r="O264" s="24">
        <f>IF(Tabell2[[#This Row],[Beftettotal]]&lt;=E$434,E$434,IF(Tabell2[[#This Row],[Beftettotal]]&gt;=E$435,E$435,Tabell2[[#This Row],[Beftettotal]]))</f>
        <v>8.4525323849328942</v>
      </c>
      <c r="P264" s="24">
        <f>IF(Tabell2[[#This Row],[Befvekst10]]&lt;=F$434,F$434,IF(Tabell2[[#This Row],[Befvekst10]]&gt;=F$435,F$435,Tabell2[[#This Row],[Befvekst10]]))</f>
        <v>-7.1062862685144085E-2</v>
      </c>
      <c r="Q264" s="24">
        <f>IF(Tabell2[[#This Row],[Kvinneandel]]&lt;=G$434,G$434,IF(Tabell2[[#This Row],[Kvinneandel]]&gt;=G$435,G$435,Tabell2[[#This Row],[Kvinneandel]]))</f>
        <v>8.9521819157910881E-2</v>
      </c>
      <c r="R264" s="24">
        <f>IF(Tabell2[[#This Row],[Eldreandel]]&lt;=H$434,H$434,IF(Tabell2[[#This Row],[Eldreandel]]&gt;=H$435,H$435,Tabell2[[#This Row],[Eldreandel]]))</f>
        <v>0.22032896051974013</v>
      </c>
      <c r="S264" s="24">
        <f>IF(Tabell2[[#This Row],[Sysselsettingsvekst10]]&lt;=I$434,I$434,IF(Tabell2[[#This Row],[Sysselsettingsvekst10]]&gt;=I$435,I$435,Tabell2[[#This Row],[Sysselsettingsvekst10]]))</f>
        <v>-5.9167275383491647E-2</v>
      </c>
      <c r="T264" s="24">
        <f>IF(Tabell2[[#This Row],[Yrkesaktivandel]]&lt;=J$434,J$434,IF(Tabell2[[#This Row],[Yrkesaktivandel]]&gt;=J$435,J$435,Tabell2[[#This Row],[Yrkesaktivandel]]))</f>
        <v>0.90352397458116696</v>
      </c>
      <c r="U264" s="24">
        <f>IF(Tabell2[[#This Row],[Inntekt]]&lt;=K$434,K$434,IF(Tabell2[[#This Row],[Inntekt]]&gt;=K$435,K$435,Tabell2[[#This Row],[Inntekt]]))</f>
        <v>385900</v>
      </c>
      <c r="V264" s="7">
        <f>IF(Tabell2[[#This Row],[NIBR11-T]]&lt;=L$437,100,IF(Tabell2[[#This Row],[NIBR11-T]]&gt;=L$436,0,100*(L$436-Tabell2[[#This Row],[NIBR11-T]])/L$439))</f>
        <v>0</v>
      </c>
      <c r="W264" s="7">
        <f>(M$436-Tabell2[[#This Row],[ReisetidOslo-T]])*100/M$439</f>
        <v>25.801828153572497</v>
      </c>
      <c r="X264" s="7">
        <f>100-(N$436-Tabell2[[#This Row],[Beftettland-T]])*100/N$439</f>
        <v>5.5560388356076515</v>
      </c>
      <c r="Y264" s="7">
        <f>100-(O$436-Tabell2[[#This Row],[Beftettotal-T]])*100/O$439</f>
        <v>5.460997799497008</v>
      </c>
      <c r="Z264" s="7">
        <f>100-(P$436-Tabell2[[#This Row],[Befvekst10-T]])*100/P$439</f>
        <v>0</v>
      </c>
      <c r="AA264" s="7">
        <f>100-(Q$436-Tabell2[[#This Row],[Kvinneandel-T]])*100/Q$439</f>
        <v>0</v>
      </c>
      <c r="AB264" s="7">
        <f>(R$436-Tabell2[[#This Row],[Eldreandel-T]])*100/R$439</f>
        <v>0</v>
      </c>
      <c r="AC264" s="7">
        <f>100-(S$436-Tabell2[[#This Row],[Sysselsettingsvekst10-T]])*100/S$439</f>
        <v>10.90109037102026</v>
      </c>
      <c r="AD264" s="7">
        <f>100-(T$436-Tabell2[[#This Row],[Yrkesaktivandel-T]])*100/T$439</f>
        <v>73.801739964021266</v>
      </c>
      <c r="AE264" s="7">
        <f>100-(U$436-Tabell2[[#This Row],[Inntekt-T]])*100/U$439</f>
        <v>46.823157657149309</v>
      </c>
      <c r="AF264" s="7">
        <v>0</v>
      </c>
      <c r="AG264" s="7">
        <v>2.5801828153572499</v>
      </c>
      <c r="AH264" s="7">
        <v>0.54609977994970083</v>
      </c>
      <c r="AI264" s="7">
        <v>0</v>
      </c>
      <c r="AJ264" s="7">
        <v>0</v>
      </c>
      <c r="AK264" s="7">
        <v>0</v>
      </c>
      <c r="AL264" s="7">
        <v>1.0901090371020261</v>
      </c>
      <c r="AM264" s="7">
        <v>7.3801739964021271</v>
      </c>
      <c r="AN264" s="7">
        <v>4.6823157657149315</v>
      </c>
      <c r="AO26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16.278881394526035</v>
      </c>
    </row>
    <row r="265" spans="1:41" x14ac:dyDescent="0.3">
      <c r="A265" s="2" t="s">
        <v>262</v>
      </c>
      <c r="B265">
        <f>'Rådata-K'!N264</f>
        <v>6</v>
      </c>
      <c r="C265" s="7">
        <f>'Rådata-K'!M264</f>
        <v>195.71666666670001</v>
      </c>
      <c r="D265" s="24">
        <f>'Rådata-K'!O264</f>
        <v>28.379727181989576</v>
      </c>
      <c r="E265" s="24">
        <f>'Rådata-K'!P264</f>
        <v>27.454135822336657</v>
      </c>
      <c r="F265" s="24">
        <f>'Rådata-K'!Q264</f>
        <v>7.877116975187004E-3</v>
      </c>
      <c r="G265" s="24">
        <f>'Rådata-K'!R264</f>
        <v>9.5349745994529111E-2</v>
      </c>
      <c r="H265" s="24">
        <f>'Rådata-K'!S264</f>
        <v>0.19421649081672529</v>
      </c>
      <c r="I265" s="24">
        <f>'Rådata-K'!T264</f>
        <v>1.9742489270386354E-2</v>
      </c>
      <c r="J265" s="24">
        <f>'Rådata-K'!U264</f>
        <v>0.90103806228373706</v>
      </c>
      <c r="K265" s="24">
        <f>'Rådata-K'!L264</f>
        <v>387600</v>
      </c>
      <c r="L265" s="24">
        <f>Tabell2[[#This Row],[NIBR11]]</f>
        <v>6</v>
      </c>
      <c r="M265" s="24">
        <f>IF(Tabell2[[#This Row],[ReisetidOslo]]&lt;=C$434,C$434,IF(Tabell2[[#This Row],[ReisetidOslo]]&gt;=C$435,C$435,Tabell2[[#This Row],[ReisetidOslo]]))</f>
        <v>195.71666666670001</v>
      </c>
      <c r="N265" s="24">
        <f>IF(Tabell2[[#This Row],[Beftettland]]&lt;=D$434,D$434,IF(Tabell2[[#This Row],[Beftettland]]&gt;=D$435,D$435,Tabell2[[#This Row],[Beftettland]]))</f>
        <v>28.379727181989576</v>
      </c>
      <c r="O265" s="24">
        <f>IF(Tabell2[[#This Row],[Beftettotal]]&lt;=E$434,E$434,IF(Tabell2[[#This Row],[Beftettotal]]&gt;=E$435,E$435,Tabell2[[#This Row],[Beftettotal]]))</f>
        <v>27.454135822336657</v>
      </c>
      <c r="P265" s="24">
        <f>IF(Tabell2[[#This Row],[Befvekst10]]&lt;=F$434,F$434,IF(Tabell2[[#This Row],[Befvekst10]]&gt;=F$435,F$435,Tabell2[[#This Row],[Befvekst10]]))</f>
        <v>7.877116975187004E-3</v>
      </c>
      <c r="Q265" s="24">
        <f>IF(Tabell2[[#This Row],[Kvinneandel]]&lt;=G$434,G$434,IF(Tabell2[[#This Row],[Kvinneandel]]&gt;=G$435,G$435,Tabell2[[#This Row],[Kvinneandel]]))</f>
        <v>9.5349745994529111E-2</v>
      </c>
      <c r="R265" s="24">
        <f>IF(Tabell2[[#This Row],[Eldreandel]]&lt;=H$434,H$434,IF(Tabell2[[#This Row],[Eldreandel]]&gt;=H$435,H$435,Tabell2[[#This Row],[Eldreandel]]))</f>
        <v>0.19421649081672529</v>
      </c>
      <c r="S265" s="24">
        <f>IF(Tabell2[[#This Row],[Sysselsettingsvekst10]]&lt;=I$434,I$434,IF(Tabell2[[#This Row],[Sysselsettingsvekst10]]&gt;=I$435,I$435,Tabell2[[#This Row],[Sysselsettingsvekst10]]))</f>
        <v>1.9742489270386354E-2</v>
      </c>
      <c r="T265" s="24">
        <f>IF(Tabell2[[#This Row],[Yrkesaktivandel]]&lt;=J$434,J$434,IF(Tabell2[[#This Row],[Yrkesaktivandel]]&gt;=J$435,J$435,Tabell2[[#This Row],[Yrkesaktivandel]]))</f>
        <v>0.90103806228373706</v>
      </c>
      <c r="U265" s="24">
        <f>IF(Tabell2[[#This Row],[Inntekt]]&lt;=K$434,K$434,IF(Tabell2[[#This Row],[Inntekt]]&gt;=K$435,K$435,Tabell2[[#This Row],[Inntekt]]))</f>
        <v>387600</v>
      </c>
      <c r="V265" s="7">
        <f>IF(Tabell2[[#This Row],[NIBR11-T]]&lt;=L$437,100,IF(Tabell2[[#This Row],[NIBR11-T]]&gt;=L$436,0,100*(L$436-Tabell2[[#This Row],[NIBR11-T]])/L$439))</f>
        <v>50</v>
      </c>
      <c r="W265" s="7">
        <f>(M$436-Tabell2[[#This Row],[ReisetidOslo-T]])*100/M$439</f>
        <v>37.180255941490884</v>
      </c>
      <c r="X265" s="7">
        <f>100-(N$436-Tabell2[[#This Row],[Beftettland-T]])*100/N$439</f>
        <v>19.955124601575008</v>
      </c>
      <c r="Y265" s="7">
        <f>100-(O$436-Tabell2[[#This Row],[Beftettotal-T]])*100/O$439</f>
        <v>20.005557876127384</v>
      </c>
      <c r="Z265" s="7">
        <f>100-(P$436-Tabell2[[#This Row],[Befvekst10-T]])*100/P$439</f>
        <v>31.951829190837671</v>
      </c>
      <c r="AA265" s="7">
        <f>100-(Q$436-Tabell2[[#This Row],[Kvinneandel-T]])*100/Q$439</f>
        <v>15.310274260309129</v>
      </c>
      <c r="AB265" s="7">
        <f>(R$436-Tabell2[[#This Row],[Eldreandel-T]])*100/R$439</f>
        <v>28.182009150735752</v>
      </c>
      <c r="AC265" s="7">
        <f>100-(S$436-Tabell2[[#This Row],[Sysselsettingsvekst10-T]])*100/S$439</f>
        <v>36.653394714827542</v>
      </c>
      <c r="AD265" s="7">
        <f>100-(T$436-Tabell2[[#This Row],[Yrkesaktivandel-T]])*100/T$439</f>
        <v>72.048441377532725</v>
      </c>
      <c r="AE265" s="7">
        <f>100-(U$436-Tabell2[[#This Row],[Inntekt-T]])*100/U$439</f>
        <v>48.74167701162397</v>
      </c>
      <c r="AF265" s="7">
        <v>10</v>
      </c>
      <c r="AG265" s="7">
        <v>3.7180255941490885</v>
      </c>
      <c r="AH265" s="7">
        <v>2.0005557876127384</v>
      </c>
      <c r="AI265" s="7">
        <v>6.3903658381675346</v>
      </c>
      <c r="AJ265" s="7">
        <v>0.76551371301545645</v>
      </c>
      <c r="AK265" s="7">
        <v>1.4091004575367876</v>
      </c>
      <c r="AL265" s="7">
        <v>3.6653394714827545</v>
      </c>
      <c r="AM265" s="7">
        <v>7.2048441377532733</v>
      </c>
      <c r="AN265" s="7">
        <v>4.8741677011623974</v>
      </c>
      <c r="AO26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40.02791270088003</v>
      </c>
    </row>
    <row r="266" spans="1:41" x14ac:dyDescent="0.3">
      <c r="A266" s="2" t="s">
        <v>263</v>
      </c>
      <c r="B266">
        <f>'Rådata-K'!N265</f>
        <v>6</v>
      </c>
      <c r="C266" s="7">
        <f>'Rådata-K'!M265</f>
        <v>196.48333333330001</v>
      </c>
      <c r="D266" s="24">
        <f>'Rådata-K'!O265</f>
        <v>76.027455300398273</v>
      </c>
      <c r="E266" s="24">
        <f>'Rådata-K'!P265</f>
        <v>75.066934404283799</v>
      </c>
      <c r="F266" s="24">
        <f>'Rådata-K'!Q265</f>
        <v>7.1539472112743363E-2</v>
      </c>
      <c r="G266" s="24">
        <f>'Rådata-K'!R265</f>
        <v>0.11145786892554614</v>
      </c>
      <c r="H266" s="24">
        <f>'Rådata-K'!S265</f>
        <v>0.15815871600534998</v>
      </c>
      <c r="I266" s="24">
        <f>'Rådata-K'!T265</f>
        <v>0.12156092083099379</v>
      </c>
      <c r="J266" s="24">
        <f>'Rådata-K'!U265</f>
        <v>0.86841070023603462</v>
      </c>
      <c r="K266" s="24">
        <f>'Rådata-K'!L265</f>
        <v>434000</v>
      </c>
      <c r="L266" s="24">
        <f>Tabell2[[#This Row],[NIBR11]]</f>
        <v>6</v>
      </c>
      <c r="M266" s="24">
        <f>IF(Tabell2[[#This Row],[ReisetidOslo]]&lt;=C$434,C$434,IF(Tabell2[[#This Row],[ReisetidOslo]]&gt;=C$435,C$435,Tabell2[[#This Row],[ReisetidOslo]]))</f>
        <v>196.48333333330001</v>
      </c>
      <c r="N266" s="24">
        <f>IF(Tabell2[[#This Row],[Beftettland]]&lt;=D$434,D$434,IF(Tabell2[[#This Row],[Beftettland]]&gt;=D$435,D$435,Tabell2[[#This Row],[Beftettland]]))</f>
        <v>76.027455300398273</v>
      </c>
      <c r="O266" s="24">
        <f>IF(Tabell2[[#This Row],[Beftettotal]]&lt;=E$434,E$434,IF(Tabell2[[#This Row],[Beftettotal]]&gt;=E$435,E$435,Tabell2[[#This Row],[Beftettotal]]))</f>
        <v>75.066934404283799</v>
      </c>
      <c r="P266" s="24">
        <f>IF(Tabell2[[#This Row],[Befvekst10]]&lt;=F$434,F$434,IF(Tabell2[[#This Row],[Befvekst10]]&gt;=F$435,F$435,Tabell2[[#This Row],[Befvekst10]]))</f>
        <v>7.1539472112743363E-2</v>
      </c>
      <c r="Q266" s="24">
        <f>IF(Tabell2[[#This Row],[Kvinneandel]]&lt;=G$434,G$434,IF(Tabell2[[#This Row],[Kvinneandel]]&gt;=G$435,G$435,Tabell2[[#This Row],[Kvinneandel]]))</f>
        <v>0.11145786892554614</v>
      </c>
      <c r="R266" s="24">
        <f>IF(Tabell2[[#This Row],[Eldreandel]]&lt;=H$434,H$434,IF(Tabell2[[#This Row],[Eldreandel]]&gt;=H$435,H$435,Tabell2[[#This Row],[Eldreandel]]))</f>
        <v>0.15815871600534998</v>
      </c>
      <c r="S266" s="24">
        <f>IF(Tabell2[[#This Row],[Sysselsettingsvekst10]]&lt;=I$434,I$434,IF(Tabell2[[#This Row],[Sysselsettingsvekst10]]&gt;=I$435,I$435,Tabell2[[#This Row],[Sysselsettingsvekst10]]))</f>
        <v>0.12156092083099379</v>
      </c>
      <c r="T266" s="24">
        <f>IF(Tabell2[[#This Row],[Yrkesaktivandel]]&lt;=J$434,J$434,IF(Tabell2[[#This Row],[Yrkesaktivandel]]&gt;=J$435,J$435,Tabell2[[#This Row],[Yrkesaktivandel]]))</f>
        <v>0.86841070023603462</v>
      </c>
      <c r="U266" s="24">
        <f>IF(Tabell2[[#This Row],[Inntekt]]&lt;=K$434,K$434,IF(Tabell2[[#This Row],[Inntekt]]&gt;=K$435,K$435,Tabell2[[#This Row],[Inntekt]]))</f>
        <v>433020</v>
      </c>
      <c r="V266" s="7">
        <f>IF(Tabell2[[#This Row],[NIBR11-T]]&lt;=L$437,100,IF(Tabell2[[#This Row],[NIBR11-T]]&gt;=L$436,0,100*(L$436-Tabell2[[#This Row],[NIBR11-T]])/L$439))</f>
        <v>50</v>
      </c>
      <c r="W266" s="7">
        <f>(M$436-Tabell2[[#This Row],[ReisetidOslo-T]])*100/M$439</f>
        <v>36.843875685578674</v>
      </c>
      <c r="X266" s="7">
        <f>100-(N$436-Tabell2[[#This Row],[Beftettland-T]])*100/N$439</f>
        <v>55.200327479845853</v>
      </c>
      <c r="Y266" s="7">
        <f>100-(O$436-Tabell2[[#This Row],[Beftettotal-T]])*100/O$439</f>
        <v>56.450230120389897</v>
      </c>
      <c r="Z266" s="7">
        <f>100-(P$436-Tabell2[[#This Row],[Befvekst10-T]])*100/P$439</f>
        <v>57.719871011905404</v>
      </c>
      <c r="AA266" s="7">
        <f>100-(Q$436-Tabell2[[#This Row],[Kvinneandel-T]])*100/Q$439</f>
        <v>57.627171298733757</v>
      </c>
      <c r="AB266" s="7">
        <f>(R$436-Tabell2[[#This Row],[Eldreandel-T]])*100/R$439</f>
        <v>67.097536913780857</v>
      </c>
      <c r="AC266" s="7">
        <f>100-(S$436-Tabell2[[#This Row],[Sysselsettingsvekst10-T]])*100/S$439</f>
        <v>69.881972304166666</v>
      </c>
      <c r="AD266" s="7">
        <f>100-(T$436-Tabell2[[#This Row],[Yrkesaktivandel-T]])*100/T$439</f>
        <v>49.036564482990116</v>
      </c>
      <c r="AE266" s="7">
        <f>100-(U$436-Tabell2[[#This Row],[Inntekt-T]])*100/U$439</f>
        <v>100</v>
      </c>
      <c r="AF266" s="7">
        <v>10</v>
      </c>
      <c r="AG266" s="7">
        <v>3.6843875685578675</v>
      </c>
      <c r="AH266" s="7">
        <v>5.6450230120389904</v>
      </c>
      <c r="AI266" s="7">
        <v>11.543974202381081</v>
      </c>
      <c r="AJ266" s="7">
        <v>2.8813585649366882</v>
      </c>
      <c r="AK266" s="7">
        <v>3.3548768456890432</v>
      </c>
      <c r="AL266" s="7">
        <v>6.9881972304166666</v>
      </c>
      <c r="AM266" s="7">
        <v>4.9036564482990119</v>
      </c>
      <c r="AN266" s="7">
        <v>10</v>
      </c>
      <c r="AO26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59.001473872319345</v>
      </c>
    </row>
    <row r="267" spans="1:41" x14ac:dyDescent="0.3">
      <c r="A267" s="2" t="s">
        <v>264</v>
      </c>
      <c r="B267">
        <f>'Rådata-K'!N266</f>
        <v>5</v>
      </c>
      <c r="C267" s="7">
        <f>'Rådata-K'!M266</f>
        <v>184.05</v>
      </c>
      <c r="D267" s="24">
        <f>'Rådata-K'!O266</f>
        <v>88.858437862337937</v>
      </c>
      <c r="E267" s="24">
        <f>'Rådata-K'!P266</f>
        <v>86.737318654182531</v>
      </c>
      <c r="F267" s="24">
        <f>'Rådata-K'!Q266</f>
        <v>0.23734037868780278</v>
      </c>
      <c r="G267" s="24">
        <f>'Rådata-K'!R266</f>
        <v>0.11304863582443654</v>
      </c>
      <c r="H267" s="24">
        <f>'Rådata-K'!S266</f>
        <v>0.12550415183867142</v>
      </c>
      <c r="I267" s="24">
        <f>'Rådata-K'!T266</f>
        <v>0.41188959660297231</v>
      </c>
      <c r="J267" s="24">
        <f>'Rådata-K'!U266</f>
        <v>0.86272117144600369</v>
      </c>
      <c r="K267" s="24">
        <f>'Rådata-K'!L266</f>
        <v>447900</v>
      </c>
      <c r="L267" s="24">
        <f>Tabell2[[#This Row],[NIBR11]]</f>
        <v>5</v>
      </c>
      <c r="M267" s="24">
        <f>IF(Tabell2[[#This Row],[ReisetidOslo]]&lt;=C$434,C$434,IF(Tabell2[[#This Row],[ReisetidOslo]]&gt;=C$435,C$435,Tabell2[[#This Row],[ReisetidOslo]]))</f>
        <v>184.05</v>
      </c>
      <c r="N267" s="24">
        <f>IF(Tabell2[[#This Row],[Beftettland]]&lt;=D$434,D$434,IF(Tabell2[[#This Row],[Beftettland]]&gt;=D$435,D$435,Tabell2[[#This Row],[Beftettland]]))</f>
        <v>88.858437862337937</v>
      </c>
      <c r="O267" s="24">
        <f>IF(Tabell2[[#This Row],[Beftettotal]]&lt;=E$434,E$434,IF(Tabell2[[#This Row],[Beftettotal]]&gt;=E$435,E$435,Tabell2[[#This Row],[Beftettotal]]))</f>
        <v>86.737318654182531</v>
      </c>
      <c r="P267" s="24">
        <f>IF(Tabell2[[#This Row],[Befvekst10]]&lt;=F$434,F$434,IF(Tabell2[[#This Row],[Befvekst10]]&gt;=F$435,F$435,Tabell2[[#This Row],[Befvekst10]]))</f>
        <v>0.17599648151968622</v>
      </c>
      <c r="Q267" s="24">
        <f>IF(Tabell2[[#This Row],[Kvinneandel]]&lt;=G$434,G$434,IF(Tabell2[[#This Row],[Kvinneandel]]&gt;=G$435,G$435,Tabell2[[#This Row],[Kvinneandel]]))</f>
        <v>0.11304863582443654</v>
      </c>
      <c r="R267" s="24">
        <f>IF(Tabell2[[#This Row],[Eldreandel]]&lt;=H$434,H$434,IF(Tabell2[[#This Row],[Eldreandel]]&gt;=H$435,H$435,Tabell2[[#This Row],[Eldreandel]]))</f>
        <v>0.12767243783057225</v>
      </c>
      <c r="S267" s="24">
        <f>IF(Tabell2[[#This Row],[Sysselsettingsvekst10]]&lt;=I$434,I$434,IF(Tabell2[[#This Row],[Sysselsettingsvekst10]]&gt;=I$435,I$435,Tabell2[[#This Row],[Sysselsettingsvekst10]]))</f>
        <v>0.21384805931725109</v>
      </c>
      <c r="T267" s="24">
        <f>IF(Tabell2[[#This Row],[Yrkesaktivandel]]&lt;=J$434,J$434,IF(Tabell2[[#This Row],[Yrkesaktivandel]]&gt;=J$435,J$435,Tabell2[[#This Row],[Yrkesaktivandel]]))</f>
        <v>0.86272117144600369</v>
      </c>
      <c r="U267" s="24">
        <f>IF(Tabell2[[#This Row],[Inntekt]]&lt;=K$434,K$434,IF(Tabell2[[#This Row],[Inntekt]]&gt;=K$435,K$435,Tabell2[[#This Row],[Inntekt]]))</f>
        <v>433020</v>
      </c>
      <c r="V267" s="7">
        <f>IF(Tabell2[[#This Row],[NIBR11-T]]&lt;=L$437,100,IF(Tabell2[[#This Row],[NIBR11-T]]&gt;=L$436,0,100*(L$436-Tabell2[[#This Row],[NIBR11-T]])/L$439))</f>
        <v>60</v>
      </c>
      <c r="W267" s="7">
        <f>(M$436-Tabell2[[#This Row],[ReisetidOslo-T]])*100/M$439</f>
        <v>42.299085923223451</v>
      </c>
      <c r="X267" s="7">
        <f>100-(N$436-Tabell2[[#This Row],[Beftettland-T]])*100/N$439</f>
        <v>64.691453319031453</v>
      </c>
      <c r="Y267" s="7">
        <f>100-(O$436-Tabell2[[#This Row],[Beftettotal-T]])*100/O$439</f>
        <v>65.383192299038825</v>
      </c>
      <c r="Z267" s="7">
        <f>100-(P$436-Tabell2[[#This Row],[Befvekst10-T]])*100/P$439</f>
        <v>100</v>
      </c>
      <c r="AA267" s="7">
        <f>100-(Q$436-Tabell2[[#This Row],[Kvinneandel-T]])*100/Q$439</f>
        <v>61.806200684141416</v>
      </c>
      <c r="AB267" s="7">
        <f>(R$436-Tabell2[[#This Row],[Eldreandel-T]])*100/R$439</f>
        <v>100</v>
      </c>
      <c r="AC267" s="7">
        <f>100-(S$436-Tabell2[[#This Row],[Sysselsettingsvekst10-T]])*100/S$439</f>
        <v>100</v>
      </c>
      <c r="AD267" s="7">
        <f>100-(T$436-Tabell2[[#This Row],[Yrkesaktivandel-T]])*100/T$439</f>
        <v>45.023774974824306</v>
      </c>
      <c r="AE267" s="7">
        <f>100-(U$436-Tabell2[[#This Row],[Inntekt-T]])*100/U$439</f>
        <v>100</v>
      </c>
      <c r="AF267" s="7">
        <v>12</v>
      </c>
      <c r="AG267" s="7">
        <v>4.229908592322345</v>
      </c>
      <c r="AH267" s="7">
        <v>6.538319229903883</v>
      </c>
      <c r="AI267" s="7">
        <v>20</v>
      </c>
      <c r="AJ267" s="7">
        <v>3.0903100342070711</v>
      </c>
      <c r="AK267" s="7">
        <v>5</v>
      </c>
      <c r="AL267" s="7">
        <v>10</v>
      </c>
      <c r="AM267" s="7">
        <v>4.5023774974824304</v>
      </c>
      <c r="AN267" s="7">
        <v>10</v>
      </c>
      <c r="AO26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75.360915353915729</v>
      </c>
    </row>
    <row r="268" spans="1:41" x14ac:dyDescent="0.3">
      <c r="A268" s="2" t="s">
        <v>265</v>
      </c>
      <c r="B268">
        <f>'Rådata-K'!N267</f>
        <v>5</v>
      </c>
      <c r="C268" s="7">
        <f>'Rådata-K'!M267</f>
        <v>191.6833333333</v>
      </c>
      <c r="D268" s="24">
        <f>'Rådata-K'!O267</f>
        <v>67.565104166666671</v>
      </c>
      <c r="E268" s="24">
        <f>'Rådata-K'!P267</f>
        <v>63.088145896656535</v>
      </c>
      <c r="F268" s="24">
        <f>'Rådata-K'!Q267</f>
        <v>0.11904248436489118</v>
      </c>
      <c r="G268" s="24">
        <f>'Rådata-K'!R267</f>
        <v>0.12275968394681055</v>
      </c>
      <c r="H268" s="24">
        <f>'Rådata-K'!S267</f>
        <v>0.14781268067064945</v>
      </c>
      <c r="I268" s="24">
        <f>'Rådata-K'!T267</f>
        <v>6.8892421833598227E-2</v>
      </c>
      <c r="J268" s="24">
        <f>'Rådata-K'!U267</f>
        <v>0.85458234697328372</v>
      </c>
      <c r="K268" s="24">
        <f>'Rådata-K'!L267</f>
        <v>407100</v>
      </c>
      <c r="L268" s="24">
        <f>Tabell2[[#This Row],[NIBR11]]</f>
        <v>5</v>
      </c>
      <c r="M268" s="24">
        <f>IF(Tabell2[[#This Row],[ReisetidOslo]]&lt;=C$434,C$434,IF(Tabell2[[#This Row],[ReisetidOslo]]&gt;=C$435,C$435,Tabell2[[#This Row],[ReisetidOslo]]))</f>
        <v>191.6833333333</v>
      </c>
      <c r="N268" s="24">
        <f>IF(Tabell2[[#This Row],[Beftettland]]&lt;=D$434,D$434,IF(Tabell2[[#This Row],[Beftettland]]&gt;=D$435,D$435,Tabell2[[#This Row],[Beftettland]]))</f>
        <v>67.565104166666671</v>
      </c>
      <c r="O268" s="24">
        <f>IF(Tabell2[[#This Row],[Beftettotal]]&lt;=E$434,E$434,IF(Tabell2[[#This Row],[Beftettotal]]&gt;=E$435,E$435,Tabell2[[#This Row],[Beftettotal]]))</f>
        <v>63.088145896656535</v>
      </c>
      <c r="P268" s="24">
        <f>IF(Tabell2[[#This Row],[Befvekst10]]&lt;=F$434,F$434,IF(Tabell2[[#This Row],[Befvekst10]]&gt;=F$435,F$435,Tabell2[[#This Row],[Befvekst10]]))</f>
        <v>0.11904248436489118</v>
      </c>
      <c r="Q268" s="24">
        <f>IF(Tabell2[[#This Row],[Kvinneandel]]&lt;=G$434,G$434,IF(Tabell2[[#This Row],[Kvinneandel]]&gt;=G$435,G$435,Tabell2[[#This Row],[Kvinneandel]]))</f>
        <v>0.12275968394681055</v>
      </c>
      <c r="R268" s="24">
        <f>IF(Tabell2[[#This Row],[Eldreandel]]&lt;=H$434,H$434,IF(Tabell2[[#This Row],[Eldreandel]]&gt;=H$435,H$435,Tabell2[[#This Row],[Eldreandel]]))</f>
        <v>0.14781268067064945</v>
      </c>
      <c r="S268" s="24">
        <f>IF(Tabell2[[#This Row],[Sysselsettingsvekst10]]&lt;=I$434,I$434,IF(Tabell2[[#This Row],[Sysselsettingsvekst10]]&gt;=I$435,I$435,Tabell2[[#This Row],[Sysselsettingsvekst10]]))</f>
        <v>6.8892421833598227E-2</v>
      </c>
      <c r="T268" s="24">
        <f>IF(Tabell2[[#This Row],[Yrkesaktivandel]]&lt;=J$434,J$434,IF(Tabell2[[#This Row],[Yrkesaktivandel]]&gt;=J$435,J$435,Tabell2[[#This Row],[Yrkesaktivandel]]))</f>
        <v>0.85458234697328372</v>
      </c>
      <c r="U268" s="24">
        <f>IF(Tabell2[[#This Row],[Inntekt]]&lt;=K$434,K$434,IF(Tabell2[[#This Row],[Inntekt]]&gt;=K$435,K$435,Tabell2[[#This Row],[Inntekt]]))</f>
        <v>407100</v>
      </c>
      <c r="V268" s="7">
        <f>IF(Tabell2[[#This Row],[NIBR11-T]]&lt;=L$437,100,IF(Tabell2[[#This Row],[NIBR11-T]]&gt;=L$436,0,100*(L$436-Tabell2[[#This Row],[NIBR11-T]])/L$439))</f>
        <v>60</v>
      </c>
      <c r="W268" s="7">
        <f>(M$436-Tabell2[[#This Row],[ReisetidOslo-T]])*100/M$439</f>
        <v>38.949908592342638</v>
      </c>
      <c r="X268" s="7">
        <f>100-(N$436-Tabell2[[#This Row],[Beftettland-T]])*100/N$439</f>
        <v>48.940694663894149</v>
      </c>
      <c r="Y268" s="7">
        <f>100-(O$436-Tabell2[[#This Row],[Beftettotal-T]])*100/O$439</f>
        <v>47.281203429122449</v>
      </c>
      <c r="Z268" s="7">
        <f>100-(P$436-Tabell2[[#This Row],[Befvekst10-T]])*100/P$439</f>
        <v>76.94724021141414</v>
      </c>
      <c r="AA268" s="7">
        <f>100-(Q$436-Tabell2[[#This Row],[Kvinneandel-T]])*100/Q$439</f>
        <v>87.317641420566304</v>
      </c>
      <c r="AB268" s="7">
        <f>(R$436-Tabell2[[#This Row],[Eldreandel-T]])*100/R$439</f>
        <v>78.263545559937441</v>
      </c>
      <c r="AC268" s="7">
        <f>100-(S$436-Tabell2[[#This Row],[Sysselsettingsvekst10-T]])*100/S$439</f>
        <v>52.693539143052398</v>
      </c>
      <c r="AD268" s="7">
        <f>100-(T$436-Tabell2[[#This Row],[Yrkesaktivandel-T]])*100/T$439</f>
        <v>39.283512352345113</v>
      </c>
      <c r="AE268" s="7">
        <f>100-(U$436-Tabell2[[#This Row],[Inntekt-T]])*100/U$439</f>
        <v>70.748222548245124</v>
      </c>
      <c r="AF268" s="7">
        <v>12</v>
      </c>
      <c r="AG268" s="7">
        <v>3.8949908592342641</v>
      </c>
      <c r="AH268" s="7">
        <v>4.7281203429122449</v>
      </c>
      <c r="AI268" s="7">
        <v>15.389448042282829</v>
      </c>
      <c r="AJ268" s="7">
        <v>4.3658820710283157</v>
      </c>
      <c r="AK268" s="7">
        <v>3.9131772779968723</v>
      </c>
      <c r="AL268" s="7">
        <v>5.2693539143052401</v>
      </c>
      <c r="AM268" s="7">
        <v>3.9283512352345116</v>
      </c>
      <c r="AN268" s="7">
        <v>7.0748222548245128</v>
      </c>
      <c r="AO26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60.564145997818791</v>
      </c>
    </row>
    <row r="269" spans="1:41" x14ac:dyDescent="0.3">
      <c r="A269" s="2" t="s">
        <v>266</v>
      </c>
      <c r="B269">
        <f>'Rådata-K'!N268</f>
        <v>6</v>
      </c>
      <c r="C269" s="7">
        <f>'Rådata-K'!M268</f>
        <v>166.73333333332999</v>
      </c>
      <c r="D269" s="24">
        <f>'Rådata-K'!O268</f>
        <v>17.227443429856834</v>
      </c>
      <c r="E269" s="24">
        <f>'Rådata-K'!P268</f>
        <v>16.514381784291508</v>
      </c>
      <c r="F269" s="24">
        <f>'Rådata-K'!Q268</f>
        <v>8.5916846911800127E-2</v>
      </c>
      <c r="G269" s="24">
        <f>'Rådata-K'!R268</f>
        <v>0.12758658846962487</v>
      </c>
      <c r="H269" s="24">
        <f>'Rådata-K'!S268</f>
        <v>0.15834900962708864</v>
      </c>
      <c r="I269" s="24">
        <f>'Rådata-K'!T268</f>
        <v>0.14763374485596703</v>
      </c>
      <c r="J269" s="24">
        <f>'Rådata-K'!U268</f>
        <v>0.83983018139714394</v>
      </c>
      <c r="K269" s="24">
        <f>'Rådata-K'!L268</f>
        <v>375600</v>
      </c>
      <c r="L269" s="24">
        <f>Tabell2[[#This Row],[NIBR11]]</f>
        <v>6</v>
      </c>
      <c r="M269" s="24">
        <f>IF(Tabell2[[#This Row],[ReisetidOslo]]&lt;=C$434,C$434,IF(Tabell2[[#This Row],[ReisetidOslo]]&gt;=C$435,C$435,Tabell2[[#This Row],[ReisetidOslo]]))</f>
        <v>166.73333333332999</v>
      </c>
      <c r="N269" s="24">
        <f>IF(Tabell2[[#This Row],[Beftettland]]&lt;=D$434,D$434,IF(Tabell2[[#This Row],[Beftettland]]&gt;=D$435,D$435,Tabell2[[#This Row],[Beftettland]]))</f>
        <v>17.227443429856834</v>
      </c>
      <c r="O269" s="24">
        <f>IF(Tabell2[[#This Row],[Beftettotal]]&lt;=E$434,E$434,IF(Tabell2[[#This Row],[Beftettotal]]&gt;=E$435,E$435,Tabell2[[#This Row],[Beftettotal]]))</f>
        <v>16.514381784291508</v>
      </c>
      <c r="P269" s="24">
        <f>IF(Tabell2[[#This Row],[Befvekst10]]&lt;=F$434,F$434,IF(Tabell2[[#This Row],[Befvekst10]]&gt;=F$435,F$435,Tabell2[[#This Row],[Befvekst10]]))</f>
        <v>8.5916846911800127E-2</v>
      </c>
      <c r="Q269" s="24">
        <f>IF(Tabell2[[#This Row],[Kvinneandel]]&lt;=G$434,G$434,IF(Tabell2[[#This Row],[Kvinneandel]]&gt;=G$435,G$435,Tabell2[[#This Row],[Kvinneandel]]))</f>
        <v>0.12758658846962487</v>
      </c>
      <c r="R269" s="24">
        <f>IF(Tabell2[[#This Row],[Eldreandel]]&lt;=H$434,H$434,IF(Tabell2[[#This Row],[Eldreandel]]&gt;=H$435,H$435,Tabell2[[#This Row],[Eldreandel]]))</f>
        <v>0.15834900962708864</v>
      </c>
      <c r="S269" s="24">
        <f>IF(Tabell2[[#This Row],[Sysselsettingsvekst10]]&lt;=I$434,I$434,IF(Tabell2[[#This Row],[Sysselsettingsvekst10]]&gt;=I$435,I$435,Tabell2[[#This Row],[Sysselsettingsvekst10]]))</f>
        <v>0.14763374485596703</v>
      </c>
      <c r="T269" s="24">
        <f>IF(Tabell2[[#This Row],[Yrkesaktivandel]]&lt;=J$434,J$434,IF(Tabell2[[#This Row],[Yrkesaktivandel]]&gt;=J$435,J$435,Tabell2[[#This Row],[Yrkesaktivandel]]))</f>
        <v>0.83983018139714394</v>
      </c>
      <c r="U269" s="24">
        <f>IF(Tabell2[[#This Row],[Inntekt]]&lt;=K$434,K$434,IF(Tabell2[[#This Row],[Inntekt]]&gt;=K$435,K$435,Tabell2[[#This Row],[Inntekt]]))</f>
        <v>375600</v>
      </c>
      <c r="V269" s="7">
        <f>IF(Tabell2[[#This Row],[NIBR11-T]]&lt;=L$437,100,IF(Tabell2[[#This Row],[NIBR11-T]]&gt;=L$436,0,100*(L$436-Tabell2[[#This Row],[NIBR11-T]])/L$439))</f>
        <v>50</v>
      </c>
      <c r="W269" s="7">
        <f>(M$436-Tabell2[[#This Row],[ReisetidOslo-T]])*100/M$439</f>
        <v>49.896892138946271</v>
      </c>
      <c r="X269" s="7">
        <f>100-(N$436-Tabell2[[#This Row],[Beftettland-T]])*100/N$439</f>
        <v>11.705738556910646</v>
      </c>
      <c r="Y269" s="7">
        <f>100-(O$436-Tabell2[[#This Row],[Beftettotal-T]])*100/O$439</f>
        <v>11.63184823872389</v>
      </c>
      <c r="Z269" s="7">
        <f>100-(P$436-Tabell2[[#This Row],[Befvekst10-T]])*100/P$439</f>
        <v>63.539272356683874</v>
      </c>
      <c r="AA269" s="7">
        <f>100-(Q$436-Tabell2[[#This Row],[Kvinneandel-T]])*100/Q$439</f>
        <v>99.998176736877241</v>
      </c>
      <c r="AB269" s="7">
        <f>(R$436-Tabell2[[#This Row],[Eldreandel-T]])*100/R$439</f>
        <v>66.892161602668608</v>
      </c>
      <c r="AC269" s="7">
        <f>100-(S$436-Tabell2[[#This Row],[Sysselsettingsvekst10-T]])*100/S$439</f>
        <v>78.390872341300962</v>
      </c>
      <c r="AD269" s="7">
        <f>100-(T$436-Tabell2[[#This Row],[Yrkesaktivandel-T]])*100/T$439</f>
        <v>28.878901103979018</v>
      </c>
      <c r="AE269" s="7">
        <f>100-(U$436-Tabell2[[#This Row],[Inntekt-T]])*100/U$439</f>
        <v>35.19918745062634</v>
      </c>
      <c r="AF269" s="7">
        <v>10</v>
      </c>
      <c r="AG269" s="7">
        <v>4.9896892138946276</v>
      </c>
      <c r="AH269" s="7">
        <v>1.163184823872389</v>
      </c>
      <c r="AI269" s="7">
        <v>12.707854471336775</v>
      </c>
      <c r="AJ269" s="7">
        <v>4.9999088368438622</v>
      </c>
      <c r="AK269" s="7">
        <v>3.3446080801334306</v>
      </c>
      <c r="AL269" s="7">
        <v>7.8390872341300968</v>
      </c>
      <c r="AM269" s="7">
        <v>2.887890110397902</v>
      </c>
      <c r="AN269" s="7">
        <v>3.5199187450626344</v>
      </c>
      <c r="AO26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51.452141515671727</v>
      </c>
    </row>
    <row r="270" spans="1:41" x14ac:dyDescent="0.3">
      <c r="A270" s="2" t="s">
        <v>267</v>
      </c>
      <c r="B270">
        <f>'Rådata-K'!N269</f>
        <v>6</v>
      </c>
      <c r="C270" s="7">
        <f>'Rådata-K'!M269</f>
        <v>164.25</v>
      </c>
      <c r="D270" s="24">
        <f>'Rådata-K'!O269</f>
        <v>13.600754111307849</v>
      </c>
      <c r="E270" s="24">
        <f>'Rådata-K'!P269</f>
        <v>13.27275213505215</v>
      </c>
      <c r="F270" s="24">
        <f>'Rådata-K'!Q269</f>
        <v>4.0947645510383213E-2</v>
      </c>
      <c r="G270" s="24">
        <f>'Rådata-K'!R269</f>
        <v>0.11332771377727827</v>
      </c>
      <c r="H270" s="24">
        <f>'Rådata-K'!S269</f>
        <v>0.16615154069495178</v>
      </c>
      <c r="I270" s="24">
        <f>'Rådata-K'!T269</f>
        <v>5.8495821727019504E-2</v>
      </c>
      <c r="J270" s="24">
        <f>'Rådata-K'!U269</f>
        <v>0.89409402710389829</v>
      </c>
      <c r="K270" s="24">
        <f>'Rådata-K'!L269</f>
        <v>396100</v>
      </c>
      <c r="L270" s="24">
        <f>Tabell2[[#This Row],[NIBR11]]</f>
        <v>6</v>
      </c>
      <c r="M270" s="24">
        <f>IF(Tabell2[[#This Row],[ReisetidOslo]]&lt;=C$434,C$434,IF(Tabell2[[#This Row],[ReisetidOslo]]&gt;=C$435,C$435,Tabell2[[#This Row],[ReisetidOslo]]))</f>
        <v>164.25</v>
      </c>
      <c r="N270" s="24">
        <f>IF(Tabell2[[#This Row],[Beftettland]]&lt;=D$434,D$434,IF(Tabell2[[#This Row],[Beftettland]]&gt;=D$435,D$435,Tabell2[[#This Row],[Beftettland]]))</f>
        <v>13.600754111307849</v>
      </c>
      <c r="O270" s="24">
        <f>IF(Tabell2[[#This Row],[Beftettotal]]&lt;=E$434,E$434,IF(Tabell2[[#This Row],[Beftettotal]]&gt;=E$435,E$435,Tabell2[[#This Row],[Beftettotal]]))</f>
        <v>13.27275213505215</v>
      </c>
      <c r="P270" s="24">
        <f>IF(Tabell2[[#This Row],[Befvekst10]]&lt;=F$434,F$434,IF(Tabell2[[#This Row],[Befvekst10]]&gt;=F$435,F$435,Tabell2[[#This Row],[Befvekst10]]))</f>
        <v>4.0947645510383213E-2</v>
      </c>
      <c r="Q270" s="24">
        <f>IF(Tabell2[[#This Row],[Kvinneandel]]&lt;=G$434,G$434,IF(Tabell2[[#This Row],[Kvinneandel]]&gt;=G$435,G$435,Tabell2[[#This Row],[Kvinneandel]]))</f>
        <v>0.11332771377727827</v>
      </c>
      <c r="R270" s="24">
        <f>IF(Tabell2[[#This Row],[Eldreandel]]&lt;=H$434,H$434,IF(Tabell2[[#This Row],[Eldreandel]]&gt;=H$435,H$435,Tabell2[[#This Row],[Eldreandel]]))</f>
        <v>0.16615154069495178</v>
      </c>
      <c r="S270" s="24">
        <f>IF(Tabell2[[#This Row],[Sysselsettingsvekst10]]&lt;=I$434,I$434,IF(Tabell2[[#This Row],[Sysselsettingsvekst10]]&gt;=I$435,I$435,Tabell2[[#This Row],[Sysselsettingsvekst10]]))</f>
        <v>5.8495821727019504E-2</v>
      </c>
      <c r="T270" s="24">
        <f>IF(Tabell2[[#This Row],[Yrkesaktivandel]]&lt;=J$434,J$434,IF(Tabell2[[#This Row],[Yrkesaktivandel]]&gt;=J$435,J$435,Tabell2[[#This Row],[Yrkesaktivandel]]))</f>
        <v>0.89409402710389829</v>
      </c>
      <c r="U270" s="24">
        <f>IF(Tabell2[[#This Row],[Inntekt]]&lt;=K$434,K$434,IF(Tabell2[[#This Row],[Inntekt]]&gt;=K$435,K$435,Tabell2[[#This Row],[Inntekt]]))</f>
        <v>396100</v>
      </c>
      <c r="V270" s="7">
        <f>IF(Tabell2[[#This Row],[NIBR11-T]]&lt;=L$437,100,IF(Tabell2[[#This Row],[NIBR11-T]]&gt;=L$436,0,100*(L$436-Tabell2[[#This Row],[NIBR11-T]])/L$439))</f>
        <v>50</v>
      </c>
      <c r="W270" s="7">
        <f>(M$436-Tabell2[[#This Row],[ReisetidOslo-T]])*100/M$439</f>
        <v>50.986471663624762</v>
      </c>
      <c r="X270" s="7">
        <f>100-(N$436-Tabell2[[#This Row],[Beftettland-T]])*100/N$439</f>
        <v>9.0230628899604</v>
      </c>
      <c r="Y270" s="7">
        <f>100-(O$436-Tabell2[[#This Row],[Beftettotal-T]])*100/O$439</f>
        <v>9.1505798902465472</v>
      </c>
      <c r="Z270" s="7">
        <f>100-(P$436-Tabell2[[#This Row],[Befvekst10-T]])*100/P$439</f>
        <v>45.337491102001138</v>
      </c>
      <c r="AA270" s="7">
        <f>100-(Q$436-Tabell2[[#This Row],[Kvinneandel-T]])*100/Q$439</f>
        <v>62.539353333067211</v>
      </c>
      <c r="AB270" s="7">
        <f>(R$436-Tabell2[[#This Row],[Eldreandel-T]])*100/R$439</f>
        <v>58.471242231413925</v>
      </c>
      <c r="AC270" s="7">
        <f>100-(S$436-Tabell2[[#This Row],[Sysselsettingsvekst10-T]])*100/S$439</f>
        <v>49.300595173952409</v>
      </c>
      <c r="AD270" s="7">
        <f>100-(T$436-Tabell2[[#This Row],[Yrkesaktivandel-T]])*100/T$439</f>
        <v>67.150856262432214</v>
      </c>
      <c r="AE270" s="7">
        <f>100-(U$436-Tabell2[[#This Row],[Inntekt-T]])*100/U$439</f>
        <v>58.33427378399729</v>
      </c>
      <c r="AF270" s="7">
        <v>10</v>
      </c>
      <c r="AG270" s="7">
        <v>5.0986471663624764</v>
      </c>
      <c r="AH270" s="7">
        <v>0.91505798902465474</v>
      </c>
      <c r="AI270" s="7">
        <v>9.0674982204002283</v>
      </c>
      <c r="AJ270" s="7">
        <v>3.1269676666533606</v>
      </c>
      <c r="AK270" s="7">
        <v>2.9235621115706962</v>
      </c>
      <c r="AL270" s="7">
        <v>4.9300595173952413</v>
      </c>
      <c r="AM270" s="7">
        <v>6.7150856262432219</v>
      </c>
      <c r="AN270" s="7">
        <v>5.8334273783997297</v>
      </c>
      <c r="AO27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48.610305676049606</v>
      </c>
    </row>
    <row r="271" spans="1:41" x14ac:dyDescent="0.3">
      <c r="A271" s="2" t="s">
        <v>268</v>
      </c>
      <c r="B271">
        <f>'Rådata-K'!N270</f>
        <v>4</v>
      </c>
      <c r="C271" s="7">
        <f>'Rådata-K'!M270</f>
        <v>198.5833333333</v>
      </c>
      <c r="D271" s="24">
        <f>'Rådata-K'!O270</f>
        <v>17.919478706074006</v>
      </c>
      <c r="E271" s="24">
        <f>'Rådata-K'!P270</f>
        <v>17.452402538531281</v>
      </c>
      <c r="F271" s="24">
        <f>'Rådata-K'!Q270</f>
        <v>0.10367892976588622</v>
      </c>
      <c r="G271" s="24">
        <f>'Rådata-K'!R270</f>
        <v>0.11428571428571428</v>
      </c>
      <c r="H271" s="24">
        <f>'Rådata-K'!S270</f>
        <v>0.16103896103896104</v>
      </c>
      <c r="I271" s="24">
        <f>'Rådata-K'!T270</f>
        <v>8.2766439909297107E-2</v>
      </c>
      <c r="J271" s="24">
        <f>'Rådata-K'!U270</f>
        <v>0.90330007674597079</v>
      </c>
      <c r="K271" s="24">
        <f>'Rådata-K'!L270</f>
        <v>403000</v>
      </c>
      <c r="L271" s="24">
        <f>Tabell2[[#This Row],[NIBR11]]</f>
        <v>4</v>
      </c>
      <c r="M271" s="24">
        <f>IF(Tabell2[[#This Row],[ReisetidOslo]]&lt;=C$434,C$434,IF(Tabell2[[#This Row],[ReisetidOslo]]&gt;=C$435,C$435,Tabell2[[#This Row],[ReisetidOslo]]))</f>
        <v>198.5833333333</v>
      </c>
      <c r="N271" s="24">
        <f>IF(Tabell2[[#This Row],[Beftettland]]&lt;=D$434,D$434,IF(Tabell2[[#This Row],[Beftettland]]&gt;=D$435,D$435,Tabell2[[#This Row],[Beftettland]]))</f>
        <v>17.919478706074006</v>
      </c>
      <c r="O271" s="24">
        <f>IF(Tabell2[[#This Row],[Beftettotal]]&lt;=E$434,E$434,IF(Tabell2[[#This Row],[Beftettotal]]&gt;=E$435,E$435,Tabell2[[#This Row],[Beftettotal]]))</f>
        <v>17.452402538531281</v>
      </c>
      <c r="P271" s="24">
        <f>IF(Tabell2[[#This Row],[Befvekst10]]&lt;=F$434,F$434,IF(Tabell2[[#This Row],[Befvekst10]]&gt;=F$435,F$435,Tabell2[[#This Row],[Befvekst10]]))</f>
        <v>0.10367892976588622</v>
      </c>
      <c r="Q271" s="24">
        <f>IF(Tabell2[[#This Row],[Kvinneandel]]&lt;=G$434,G$434,IF(Tabell2[[#This Row],[Kvinneandel]]&gt;=G$435,G$435,Tabell2[[#This Row],[Kvinneandel]]))</f>
        <v>0.11428571428571428</v>
      </c>
      <c r="R271" s="24">
        <f>IF(Tabell2[[#This Row],[Eldreandel]]&lt;=H$434,H$434,IF(Tabell2[[#This Row],[Eldreandel]]&gt;=H$435,H$435,Tabell2[[#This Row],[Eldreandel]]))</f>
        <v>0.16103896103896104</v>
      </c>
      <c r="S271" s="24">
        <f>IF(Tabell2[[#This Row],[Sysselsettingsvekst10]]&lt;=I$434,I$434,IF(Tabell2[[#This Row],[Sysselsettingsvekst10]]&gt;=I$435,I$435,Tabell2[[#This Row],[Sysselsettingsvekst10]]))</f>
        <v>8.2766439909297107E-2</v>
      </c>
      <c r="T271" s="24">
        <f>IF(Tabell2[[#This Row],[Yrkesaktivandel]]&lt;=J$434,J$434,IF(Tabell2[[#This Row],[Yrkesaktivandel]]&gt;=J$435,J$435,Tabell2[[#This Row],[Yrkesaktivandel]]))</f>
        <v>0.90330007674597079</v>
      </c>
      <c r="U271" s="24">
        <f>IF(Tabell2[[#This Row],[Inntekt]]&lt;=K$434,K$434,IF(Tabell2[[#This Row],[Inntekt]]&gt;=K$435,K$435,Tabell2[[#This Row],[Inntekt]]))</f>
        <v>403000</v>
      </c>
      <c r="V271" s="7">
        <f>IF(Tabell2[[#This Row],[NIBR11-T]]&lt;=L$437,100,IF(Tabell2[[#This Row],[NIBR11-T]]&gt;=L$436,0,100*(L$436-Tabell2[[#This Row],[NIBR11-T]])/L$439))</f>
        <v>70</v>
      </c>
      <c r="W271" s="7">
        <f>(M$436-Tabell2[[#This Row],[ReisetidOslo-T]])*100/M$439</f>
        <v>35.92248628886945</v>
      </c>
      <c r="X271" s="7">
        <f>100-(N$436-Tabell2[[#This Row],[Beftettland-T]])*100/N$439</f>
        <v>12.217639641650308</v>
      </c>
      <c r="Y271" s="7">
        <f>100-(O$436-Tabell2[[#This Row],[Beftettotal-T]])*100/O$439</f>
        <v>12.34984549922406</v>
      </c>
      <c r="Z271" s="7">
        <f>100-(P$436-Tabell2[[#This Row],[Befvekst10-T]])*100/P$439</f>
        <v>70.728671693614046</v>
      </c>
      <c r="AA271" s="7">
        <f>100-(Q$436-Tabell2[[#This Row],[Kvinneandel-T]])*100/Q$439</f>
        <v>65.0560717025418</v>
      </c>
      <c r="AB271" s="7">
        <f>(R$436-Tabell2[[#This Row],[Eldreandel-T]])*100/R$439</f>
        <v>63.989018538584183</v>
      </c>
      <c r="AC271" s="7">
        <f>100-(S$436-Tabell2[[#This Row],[Sysselsettingsvekst10-T]])*100/S$439</f>
        <v>57.221342989940723</v>
      </c>
      <c r="AD271" s="7">
        <f>100-(T$436-Tabell2[[#This Row],[Yrkesaktivandel-T]])*100/T$439</f>
        <v>73.643826204001201</v>
      </c>
      <c r="AE271" s="7">
        <f>100-(U$436-Tabell2[[#This Row],[Inntekt-T]])*100/U$439</f>
        <v>66.121205281570923</v>
      </c>
      <c r="AF271" s="7">
        <v>14</v>
      </c>
      <c r="AG271" s="7">
        <v>3.5922486288869453</v>
      </c>
      <c r="AH271" s="7">
        <v>1.2349845499224061</v>
      </c>
      <c r="AI271" s="7">
        <v>14.145734338722811</v>
      </c>
      <c r="AJ271" s="7">
        <v>3.25280358512709</v>
      </c>
      <c r="AK271" s="7">
        <v>3.1994509269292095</v>
      </c>
      <c r="AL271" s="7">
        <v>5.7221342989940727</v>
      </c>
      <c r="AM271" s="7">
        <v>7.3643826204001206</v>
      </c>
      <c r="AN271" s="7">
        <v>6.6121205281570923</v>
      </c>
      <c r="AO27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59.123859477139746</v>
      </c>
    </row>
    <row r="272" spans="1:41" x14ac:dyDescent="0.3">
      <c r="A272" s="2" t="s">
        <v>269</v>
      </c>
      <c r="B272">
        <f>'Rådata-K'!N271</f>
        <v>9</v>
      </c>
      <c r="C272" s="7">
        <f>'Rådata-K'!M271</f>
        <v>235.96666666670001</v>
      </c>
      <c r="D272" s="24">
        <f>'Rådata-K'!O271</f>
        <v>1.8345771144278606</v>
      </c>
      <c r="E272" s="24">
        <f>'Rådata-K'!P271</f>
        <v>1.750890283194845</v>
      </c>
      <c r="F272" s="24">
        <f>'Rådata-K'!Q271</f>
        <v>-8.6283185840707932E-2</v>
      </c>
      <c r="G272" s="24">
        <f>'Rådata-K'!R271</f>
        <v>8.9588377723970949E-2</v>
      </c>
      <c r="H272" s="24">
        <f>'Rådata-K'!S271</f>
        <v>0.20278450363196127</v>
      </c>
      <c r="I272" s="24">
        <f>'Rådata-K'!T271</f>
        <v>-9.0382387022016175E-2</v>
      </c>
      <c r="J272" s="24">
        <f>'Rådata-K'!U271</f>
        <v>0.96864111498257843</v>
      </c>
      <c r="K272" s="24">
        <f>'Rådata-K'!L271</f>
        <v>371700</v>
      </c>
      <c r="L272" s="24">
        <f>Tabell2[[#This Row],[NIBR11]]</f>
        <v>9</v>
      </c>
      <c r="M272" s="24">
        <f>IF(Tabell2[[#This Row],[ReisetidOslo]]&lt;=C$434,C$434,IF(Tabell2[[#This Row],[ReisetidOslo]]&gt;=C$435,C$435,Tabell2[[#This Row],[ReisetidOslo]]))</f>
        <v>235.96666666670001</v>
      </c>
      <c r="N272" s="24">
        <f>IF(Tabell2[[#This Row],[Beftettland]]&lt;=D$434,D$434,IF(Tabell2[[#This Row],[Beftettland]]&gt;=D$435,D$435,Tabell2[[#This Row],[Beftettland]]))</f>
        <v>1.8345771144278606</v>
      </c>
      <c r="O272" s="24">
        <f>IF(Tabell2[[#This Row],[Beftettotal]]&lt;=E$434,E$434,IF(Tabell2[[#This Row],[Beftettotal]]&gt;=E$435,E$435,Tabell2[[#This Row],[Beftettotal]]))</f>
        <v>1.750890283194845</v>
      </c>
      <c r="P272" s="24">
        <f>IF(Tabell2[[#This Row],[Befvekst10]]&lt;=F$434,F$434,IF(Tabell2[[#This Row],[Befvekst10]]&gt;=F$435,F$435,Tabell2[[#This Row],[Befvekst10]]))</f>
        <v>-7.1062862685144085E-2</v>
      </c>
      <c r="Q272" s="24">
        <f>IF(Tabell2[[#This Row],[Kvinneandel]]&lt;=G$434,G$434,IF(Tabell2[[#This Row],[Kvinneandel]]&gt;=G$435,G$435,Tabell2[[#This Row],[Kvinneandel]]))</f>
        <v>8.9588377723970949E-2</v>
      </c>
      <c r="R272" s="24">
        <f>IF(Tabell2[[#This Row],[Eldreandel]]&lt;=H$434,H$434,IF(Tabell2[[#This Row],[Eldreandel]]&gt;=H$435,H$435,Tabell2[[#This Row],[Eldreandel]]))</f>
        <v>0.20278450363196127</v>
      </c>
      <c r="S272" s="24">
        <f>IF(Tabell2[[#This Row],[Sysselsettingsvekst10]]&lt;=I$434,I$434,IF(Tabell2[[#This Row],[Sysselsettingsvekst10]]&gt;=I$435,I$435,Tabell2[[#This Row],[Sysselsettingsvekst10]]))</f>
        <v>-9.0382387022016175E-2</v>
      </c>
      <c r="T272" s="24">
        <f>IF(Tabell2[[#This Row],[Yrkesaktivandel]]&lt;=J$434,J$434,IF(Tabell2[[#This Row],[Yrkesaktivandel]]&gt;=J$435,J$435,Tabell2[[#This Row],[Yrkesaktivandel]]))</f>
        <v>0.94066914614326791</v>
      </c>
      <c r="U272" s="24">
        <f>IF(Tabell2[[#This Row],[Inntekt]]&lt;=K$434,K$434,IF(Tabell2[[#This Row],[Inntekt]]&gt;=K$435,K$435,Tabell2[[#This Row],[Inntekt]]))</f>
        <v>371700</v>
      </c>
      <c r="V272" s="7">
        <f>IF(Tabell2[[#This Row],[NIBR11-T]]&lt;=L$437,100,IF(Tabell2[[#This Row],[NIBR11-T]]&gt;=L$436,0,100*(L$436-Tabell2[[#This Row],[NIBR11-T]])/L$439))</f>
        <v>20</v>
      </c>
      <c r="W272" s="7">
        <f>(M$436-Tabell2[[#This Row],[ReisetidOslo-T]])*100/M$439</f>
        <v>19.520292504563997</v>
      </c>
      <c r="X272" s="7">
        <f>100-(N$436-Tabell2[[#This Row],[Beftettland-T]])*100/N$439</f>
        <v>0.31957771379185829</v>
      </c>
      <c r="Y272" s="7">
        <f>100-(O$436-Tabell2[[#This Row],[Beftettotal-T]])*100/O$439</f>
        <v>0.33130248289363351</v>
      </c>
      <c r="Z272" s="7">
        <f>100-(P$436-Tabell2[[#This Row],[Befvekst10-T]])*100/P$439</f>
        <v>0</v>
      </c>
      <c r="AA272" s="7">
        <f>100-(Q$436-Tabell2[[#This Row],[Kvinneandel-T]])*100/Q$439</f>
        <v>0.1748528986928477</v>
      </c>
      <c r="AB272" s="7">
        <f>(R$436-Tabell2[[#This Row],[Eldreandel-T]])*100/R$439</f>
        <v>18.934939903405116</v>
      </c>
      <c r="AC272" s="7">
        <f>100-(S$436-Tabell2[[#This Row],[Sysselsettingsvekst10-T]])*100/S$439</f>
        <v>0.7139980819077465</v>
      </c>
      <c r="AD272" s="7">
        <f>100-(T$436-Tabell2[[#This Row],[Yrkesaktivandel-T]])*100/T$439</f>
        <v>100</v>
      </c>
      <c r="AE272" s="7">
        <f>100-(U$436-Tabell2[[#This Row],[Inntekt-T]])*100/U$439</f>
        <v>30.797878343302116</v>
      </c>
      <c r="AF272" s="7">
        <v>4</v>
      </c>
      <c r="AG272" s="7">
        <v>1.9520292504563999</v>
      </c>
      <c r="AH272" s="7">
        <v>3.3130248289363354E-2</v>
      </c>
      <c r="AI272" s="7">
        <v>0</v>
      </c>
      <c r="AJ272" s="7">
        <v>8.7426449346423851E-3</v>
      </c>
      <c r="AK272" s="7">
        <v>0.94674699517025585</v>
      </c>
      <c r="AL272" s="7">
        <v>7.1399808190774655E-2</v>
      </c>
      <c r="AM272" s="7">
        <v>10</v>
      </c>
      <c r="AN272" s="7">
        <v>3.0797878343302116</v>
      </c>
      <c r="AO27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20.091836781371647</v>
      </c>
    </row>
    <row r="273" spans="1:41" x14ac:dyDescent="0.3">
      <c r="A273" s="2" t="s">
        <v>270</v>
      </c>
      <c r="B273">
        <f>'Rådata-K'!N272</f>
        <v>5</v>
      </c>
      <c r="C273" s="7">
        <f>'Rådata-K'!M272</f>
        <v>230.9166666667</v>
      </c>
      <c r="D273" s="24">
        <f>'Rådata-K'!O272</f>
        <v>5.4436748949268932</v>
      </c>
      <c r="E273" s="24">
        <f>'Rådata-K'!P272</f>
        <v>5.3103273046450923</v>
      </c>
      <c r="F273" s="24">
        <f>'Rådata-K'!Q272</f>
        <v>1.188380281690149E-2</v>
      </c>
      <c r="G273" s="24">
        <f>'Rådata-K'!R272</f>
        <v>0.11374510656807307</v>
      </c>
      <c r="H273" s="24">
        <f>'Rådata-K'!S272</f>
        <v>0.19377990430622011</v>
      </c>
      <c r="I273" s="24">
        <f>'Rådata-K'!T272</f>
        <v>-2.6058631921824116E-2</v>
      </c>
      <c r="J273" s="24">
        <f>'Rådata-K'!U272</f>
        <v>0.95005898545025558</v>
      </c>
      <c r="K273" s="24">
        <f>'Rådata-K'!L272</f>
        <v>378200</v>
      </c>
      <c r="L273" s="24">
        <f>Tabell2[[#This Row],[NIBR11]]</f>
        <v>5</v>
      </c>
      <c r="M273" s="24">
        <f>IF(Tabell2[[#This Row],[ReisetidOslo]]&lt;=C$434,C$434,IF(Tabell2[[#This Row],[ReisetidOslo]]&gt;=C$435,C$435,Tabell2[[#This Row],[ReisetidOslo]]))</f>
        <v>230.9166666667</v>
      </c>
      <c r="N273" s="24">
        <f>IF(Tabell2[[#This Row],[Beftettland]]&lt;=D$434,D$434,IF(Tabell2[[#This Row],[Beftettland]]&gt;=D$435,D$435,Tabell2[[#This Row],[Beftettland]]))</f>
        <v>5.4436748949268932</v>
      </c>
      <c r="O273" s="24">
        <f>IF(Tabell2[[#This Row],[Beftettotal]]&lt;=E$434,E$434,IF(Tabell2[[#This Row],[Beftettotal]]&gt;=E$435,E$435,Tabell2[[#This Row],[Beftettotal]]))</f>
        <v>5.3103273046450923</v>
      </c>
      <c r="P273" s="24">
        <f>IF(Tabell2[[#This Row],[Befvekst10]]&lt;=F$434,F$434,IF(Tabell2[[#This Row],[Befvekst10]]&gt;=F$435,F$435,Tabell2[[#This Row],[Befvekst10]]))</f>
        <v>1.188380281690149E-2</v>
      </c>
      <c r="Q273" s="24">
        <f>IF(Tabell2[[#This Row],[Kvinneandel]]&lt;=G$434,G$434,IF(Tabell2[[#This Row],[Kvinneandel]]&gt;=G$435,G$435,Tabell2[[#This Row],[Kvinneandel]]))</f>
        <v>0.11374510656807307</v>
      </c>
      <c r="R273" s="24">
        <f>IF(Tabell2[[#This Row],[Eldreandel]]&lt;=H$434,H$434,IF(Tabell2[[#This Row],[Eldreandel]]&gt;=H$435,H$435,Tabell2[[#This Row],[Eldreandel]]))</f>
        <v>0.19377990430622011</v>
      </c>
      <c r="S273" s="24">
        <f>IF(Tabell2[[#This Row],[Sysselsettingsvekst10]]&lt;=I$434,I$434,IF(Tabell2[[#This Row],[Sysselsettingsvekst10]]&gt;=I$435,I$435,Tabell2[[#This Row],[Sysselsettingsvekst10]]))</f>
        <v>-2.6058631921824116E-2</v>
      </c>
      <c r="T273" s="24">
        <f>IF(Tabell2[[#This Row],[Yrkesaktivandel]]&lt;=J$434,J$434,IF(Tabell2[[#This Row],[Yrkesaktivandel]]&gt;=J$435,J$435,Tabell2[[#This Row],[Yrkesaktivandel]]))</f>
        <v>0.94066914614326791</v>
      </c>
      <c r="U273" s="24">
        <f>IF(Tabell2[[#This Row],[Inntekt]]&lt;=K$434,K$434,IF(Tabell2[[#This Row],[Inntekt]]&gt;=K$435,K$435,Tabell2[[#This Row],[Inntekt]]))</f>
        <v>378200</v>
      </c>
      <c r="V273" s="7">
        <f>IF(Tabell2[[#This Row],[NIBR11-T]]&lt;=L$437,100,IF(Tabell2[[#This Row],[NIBR11-T]]&gt;=L$436,0,100*(L$436-Tabell2[[#This Row],[NIBR11-T]])/L$439))</f>
        <v>60</v>
      </c>
      <c r="W273" s="7">
        <f>(M$436-Tabell2[[#This Row],[ReisetidOslo-T]])*100/M$439</f>
        <v>21.736014625221909</v>
      </c>
      <c r="X273" s="7">
        <f>100-(N$436-Tabell2[[#This Row],[Beftettland-T]])*100/N$439</f>
        <v>2.9892408541853257</v>
      </c>
      <c r="Y273" s="7">
        <f>100-(O$436-Tabell2[[#This Row],[Beftettotal-T]])*100/O$439</f>
        <v>3.0558328504497609</v>
      </c>
      <c r="Z273" s="7">
        <f>100-(P$436-Tabell2[[#This Row],[Befvekst10-T]])*100/P$439</f>
        <v>33.573579566080582</v>
      </c>
      <c r="AA273" s="7">
        <f>100-(Q$436-Tabell2[[#This Row],[Kvinneandel-T]])*100/Q$439</f>
        <v>63.635866429489759</v>
      </c>
      <c r="AB273" s="7">
        <f>(R$436-Tabell2[[#This Row],[Eldreandel-T]])*100/R$439</f>
        <v>28.653197252592093</v>
      </c>
      <c r="AC273" s="7">
        <f>100-(S$436-Tabell2[[#This Row],[Sysselsettingsvekst10-T]])*100/S$439</f>
        <v>21.706139233798311</v>
      </c>
      <c r="AD273" s="7">
        <f>100-(T$436-Tabell2[[#This Row],[Yrkesaktivandel-T]])*100/T$439</f>
        <v>100</v>
      </c>
      <c r="AE273" s="7">
        <f>100-(U$436-Tabell2[[#This Row],[Inntekt-T]])*100/U$439</f>
        <v>38.13339352217583</v>
      </c>
      <c r="AF273" s="7">
        <v>12</v>
      </c>
      <c r="AG273" s="7">
        <v>2.1736014625221909</v>
      </c>
      <c r="AH273" s="7">
        <v>0.30558328504497612</v>
      </c>
      <c r="AI273" s="7">
        <v>6.7147159132161169</v>
      </c>
      <c r="AJ273" s="7">
        <v>3.1817933214744882</v>
      </c>
      <c r="AK273" s="7">
        <v>1.4326598626296048</v>
      </c>
      <c r="AL273" s="7">
        <v>2.1706139233798312</v>
      </c>
      <c r="AM273" s="7">
        <v>10</v>
      </c>
      <c r="AN273" s="7">
        <v>3.8133393522175831</v>
      </c>
      <c r="AO27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41.792307120484793</v>
      </c>
    </row>
    <row r="274" spans="1:41" x14ac:dyDescent="0.3">
      <c r="A274" s="2" t="s">
        <v>271</v>
      </c>
      <c r="B274">
        <f>'Rådata-K'!N273</f>
        <v>4</v>
      </c>
      <c r="C274" s="7">
        <f>'Rådata-K'!M273</f>
        <v>214.76666666669999</v>
      </c>
      <c r="D274" s="24">
        <f>'Rådata-K'!O273</f>
        <v>4.1866765176702376</v>
      </c>
      <c r="E274" s="24">
        <f>'Rådata-K'!P273</f>
        <v>4.1283846683126244</v>
      </c>
      <c r="F274" s="24">
        <f>'Rådata-K'!Q273</f>
        <v>2.4096385542168752E-2</v>
      </c>
      <c r="G274" s="24">
        <f>'Rådata-K'!R273</f>
        <v>8.9215686274509806E-2</v>
      </c>
      <c r="H274" s="24">
        <f>'Rådata-K'!S273</f>
        <v>0.16862745098039217</v>
      </c>
      <c r="I274" s="24">
        <f>'Rådata-K'!T273</f>
        <v>-0.26442307692307687</v>
      </c>
      <c r="J274" s="24">
        <f>'Rådata-K'!U273</f>
        <v>0.8876811594202898</v>
      </c>
      <c r="K274" s="24">
        <f>'Rådata-K'!L273</f>
        <v>345800</v>
      </c>
      <c r="L274" s="24">
        <f>Tabell2[[#This Row],[NIBR11]]</f>
        <v>4</v>
      </c>
      <c r="M274" s="24">
        <f>IF(Tabell2[[#This Row],[ReisetidOslo]]&lt;=C$434,C$434,IF(Tabell2[[#This Row],[ReisetidOslo]]&gt;=C$435,C$435,Tabell2[[#This Row],[ReisetidOslo]]))</f>
        <v>214.76666666669999</v>
      </c>
      <c r="N274" s="24">
        <f>IF(Tabell2[[#This Row],[Beftettland]]&lt;=D$434,D$434,IF(Tabell2[[#This Row],[Beftettland]]&gt;=D$435,D$435,Tabell2[[#This Row],[Beftettland]]))</f>
        <v>4.1866765176702376</v>
      </c>
      <c r="O274" s="24">
        <f>IF(Tabell2[[#This Row],[Beftettotal]]&lt;=E$434,E$434,IF(Tabell2[[#This Row],[Beftettotal]]&gt;=E$435,E$435,Tabell2[[#This Row],[Beftettotal]]))</f>
        <v>4.1283846683126244</v>
      </c>
      <c r="P274" s="24">
        <f>IF(Tabell2[[#This Row],[Befvekst10]]&lt;=F$434,F$434,IF(Tabell2[[#This Row],[Befvekst10]]&gt;=F$435,F$435,Tabell2[[#This Row],[Befvekst10]]))</f>
        <v>2.4096385542168752E-2</v>
      </c>
      <c r="Q274" s="24">
        <f>IF(Tabell2[[#This Row],[Kvinneandel]]&lt;=G$434,G$434,IF(Tabell2[[#This Row],[Kvinneandel]]&gt;=G$435,G$435,Tabell2[[#This Row],[Kvinneandel]]))</f>
        <v>8.9521819157910881E-2</v>
      </c>
      <c r="R274" s="24">
        <f>IF(Tabell2[[#This Row],[Eldreandel]]&lt;=H$434,H$434,IF(Tabell2[[#This Row],[Eldreandel]]&gt;=H$435,H$435,Tabell2[[#This Row],[Eldreandel]]))</f>
        <v>0.16862745098039217</v>
      </c>
      <c r="S274" s="24">
        <f>IF(Tabell2[[#This Row],[Sysselsettingsvekst10]]&lt;=I$434,I$434,IF(Tabell2[[#This Row],[Sysselsettingsvekst10]]&gt;=I$435,I$435,Tabell2[[#This Row],[Sysselsettingsvekst10]]))</f>
        <v>-9.2570207570207563E-2</v>
      </c>
      <c r="T274" s="24">
        <f>IF(Tabell2[[#This Row],[Yrkesaktivandel]]&lt;=J$434,J$434,IF(Tabell2[[#This Row],[Yrkesaktivandel]]&gt;=J$435,J$435,Tabell2[[#This Row],[Yrkesaktivandel]]))</f>
        <v>0.8876811594202898</v>
      </c>
      <c r="U274" s="24">
        <f>IF(Tabell2[[#This Row],[Inntekt]]&lt;=K$434,K$434,IF(Tabell2[[#This Row],[Inntekt]]&gt;=K$435,K$435,Tabell2[[#This Row],[Inntekt]]))</f>
        <v>345800</v>
      </c>
      <c r="V274" s="7">
        <f>IF(Tabell2[[#This Row],[NIBR11-T]]&lt;=L$437,100,IF(Tabell2[[#This Row],[NIBR11-T]]&gt;=L$436,0,100*(L$436-Tabell2[[#This Row],[NIBR11-T]])/L$439))</f>
        <v>70</v>
      </c>
      <c r="W274" s="7">
        <f>(M$436-Tabell2[[#This Row],[ReisetidOslo-T]])*100/M$439</f>
        <v>28.821937842771462</v>
      </c>
      <c r="X274" s="7">
        <f>100-(N$436-Tabell2[[#This Row],[Beftettland-T]])*100/N$439</f>
        <v>2.0594344484324409</v>
      </c>
      <c r="Y274" s="7">
        <f>100-(O$436-Tabell2[[#This Row],[Beftettotal-T]])*100/O$439</f>
        <v>2.1511283744354301</v>
      </c>
      <c r="Z274" s="7">
        <f>100-(P$436-Tabell2[[#This Row],[Befvekst10-T]])*100/P$439</f>
        <v>38.516757394295858</v>
      </c>
      <c r="AA274" s="7">
        <f>100-(Q$436-Tabell2[[#This Row],[Kvinneandel-T]])*100/Q$439</f>
        <v>0</v>
      </c>
      <c r="AB274" s="7">
        <f>(R$436-Tabell2[[#This Row],[Eldreandel-T]])*100/R$439</f>
        <v>55.799104087673896</v>
      </c>
      <c r="AC274" s="7">
        <f>100-(S$436-Tabell2[[#This Row],[Sysselsettingsvekst10-T]])*100/S$439</f>
        <v>0</v>
      </c>
      <c r="AD274" s="7">
        <f>100-(T$436-Tabell2[[#This Row],[Yrkesaktivandel-T]])*100/T$439</f>
        <v>62.62790030110034</v>
      </c>
      <c r="AE274" s="7">
        <f>100-(U$436-Tabell2[[#This Row],[Inntekt-T]])*100/U$439</f>
        <v>1.5686717074822241</v>
      </c>
      <c r="AF274" s="7">
        <v>14</v>
      </c>
      <c r="AG274" s="7">
        <v>2.8821937842771463</v>
      </c>
      <c r="AH274" s="7">
        <v>0.21511283744354304</v>
      </c>
      <c r="AI274" s="7">
        <v>7.7033514788591724</v>
      </c>
      <c r="AJ274" s="7">
        <v>0</v>
      </c>
      <c r="AK274" s="7">
        <v>2.7899552043836948</v>
      </c>
      <c r="AL274" s="7">
        <v>0</v>
      </c>
      <c r="AM274" s="7">
        <v>6.2627900301100343</v>
      </c>
      <c r="AN274" s="7">
        <v>0.15686717074822243</v>
      </c>
      <c r="AO27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34.010270505821808</v>
      </c>
    </row>
    <row r="275" spans="1:41" x14ac:dyDescent="0.3">
      <c r="A275" s="2" t="s">
        <v>272</v>
      </c>
      <c r="B275">
        <f>'Rådata-K'!N274</f>
        <v>4</v>
      </c>
      <c r="C275" s="7">
        <f>'Rådata-K'!M274</f>
        <v>203.95</v>
      </c>
      <c r="D275" s="24">
        <f>'Rådata-K'!O274</f>
        <v>23.36093017592987</v>
      </c>
      <c r="E275" s="24">
        <f>'Rådata-K'!P274</f>
        <v>22.721217324373129</v>
      </c>
      <c r="F275" s="24">
        <f>'Rådata-K'!Q274</f>
        <v>3.4227193100660358E-2</v>
      </c>
      <c r="G275" s="24">
        <f>'Rådata-K'!R274</f>
        <v>0.10749185667752444</v>
      </c>
      <c r="H275" s="24">
        <f>'Rådata-K'!S274</f>
        <v>0.15700325732899023</v>
      </c>
      <c r="I275" s="24">
        <f>'Rådata-K'!T274</f>
        <v>-6.1051004636785144E-2</v>
      </c>
      <c r="J275" s="24">
        <f>'Rådata-K'!U274</f>
        <v>0.91091622432494812</v>
      </c>
      <c r="K275" s="24">
        <f>'Rådata-K'!L274</f>
        <v>384600</v>
      </c>
      <c r="L275" s="24">
        <f>Tabell2[[#This Row],[NIBR11]]</f>
        <v>4</v>
      </c>
      <c r="M275" s="24">
        <f>IF(Tabell2[[#This Row],[ReisetidOslo]]&lt;=C$434,C$434,IF(Tabell2[[#This Row],[ReisetidOslo]]&gt;=C$435,C$435,Tabell2[[#This Row],[ReisetidOslo]]))</f>
        <v>203.95</v>
      </c>
      <c r="N275" s="24">
        <f>IF(Tabell2[[#This Row],[Beftettland]]&lt;=D$434,D$434,IF(Tabell2[[#This Row],[Beftettland]]&gt;=D$435,D$435,Tabell2[[#This Row],[Beftettland]]))</f>
        <v>23.36093017592987</v>
      </c>
      <c r="O275" s="24">
        <f>IF(Tabell2[[#This Row],[Beftettotal]]&lt;=E$434,E$434,IF(Tabell2[[#This Row],[Beftettotal]]&gt;=E$435,E$435,Tabell2[[#This Row],[Beftettotal]]))</f>
        <v>22.721217324373129</v>
      </c>
      <c r="P275" s="24">
        <f>IF(Tabell2[[#This Row],[Befvekst10]]&lt;=F$434,F$434,IF(Tabell2[[#This Row],[Befvekst10]]&gt;=F$435,F$435,Tabell2[[#This Row],[Befvekst10]]))</f>
        <v>3.4227193100660358E-2</v>
      </c>
      <c r="Q275" s="24">
        <f>IF(Tabell2[[#This Row],[Kvinneandel]]&lt;=G$434,G$434,IF(Tabell2[[#This Row],[Kvinneandel]]&gt;=G$435,G$435,Tabell2[[#This Row],[Kvinneandel]]))</f>
        <v>0.10749185667752444</v>
      </c>
      <c r="R275" s="24">
        <f>IF(Tabell2[[#This Row],[Eldreandel]]&lt;=H$434,H$434,IF(Tabell2[[#This Row],[Eldreandel]]&gt;=H$435,H$435,Tabell2[[#This Row],[Eldreandel]]))</f>
        <v>0.15700325732899023</v>
      </c>
      <c r="S275" s="24">
        <f>IF(Tabell2[[#This Row],[Sysselsettingsvekst10]]&lt;=I$434,I$434,IF(Tabell2[[#This Row],[Sysselsettingsvekst10]]&gt;=I$435,I$435,Tabell2[[#This Row],[Sysselsettingsvekst10]]))</f>
        <v>-6.1051004636785144E-2</v>
      </c>
      <c r="T275" s="24">
        <f>IF(Tabell2[[#This Row],[Yrkesaktivandel]]&lt;=J$434,J$434,IF(Tabell2[[#This Row],[Yrkesaktivandel]]&gt;=J$435,J$435,Tabell2[[#This Row],[Yrkesaktivandel]]))</f>
        <v>0.91091622432494812</v>
      </c>
      <c r="U275" s="24">
        <f>IF(Tabell2[[#This Row],[Inntekt]]&lt;=K$434,K$434,IF(Tabell2[[#This Row],[Inntekt]]&gt;=K$435,K$435,Tabell2[[#This Row],[Inntekt]]))</f>
        <v>384600</v>
      </c>
      <c r="V275" s="7">
        <f>IF(Tabell2[[#This Row],[NIBR11-T]]&lt;=L$437,100,IF(Tabell2[[#This Row],[NIBR11-T]]&gt;=L$436,0,100*(L$436-Tabell2[[#This Row],[NIBR11-T]])/L$439))</f>
        <v>70</v>
      </c>
      <c r="W275" s="7">
        <f>(M$436-Tabell2[[#This Row],[ReisetidOslo-T]])*100/M$439</f>
        <v>33.567824497264581</v>
      </c>
      <c r="X275" s="7">
        <f>100-(N$436-Tabell2[[#This Row],[Beftettland-T]])*100/N$439</f>
        <v>16.242701666239043</v>
      </c>
      <c r="Y275" s="7">
        <f>100-(O$436-Tabell2[[#This Row],[Beftettotal-T]])*100/O$439</f>
        <v>16.382799530591086</v>
      </c>
      <c r="Z275" s="7">
        <f>100-(P$436-Tabell2[[#This Row],[Befvekst10-T]])*100/P$439</f>
        <v>42.617313716542235</v>
      </c>
      <c r="AA275" s="7">
        <f>100-(Q$436-Tabell2[[#This Row],[Kvinneandel-T]])*100/Q$439</f>
        <v>47.208245849046413</v>
      </c>
      <c r="AB275" s="7">
        <f>(R$436-Tabell2[[#This Row],[Eldreandel-T]])*100/R$439</f>
        <v>68.344571275555822</v>
      </c>
      <c r="AC275" s="7">
        <f>100-(S$436-Tabell2[[#This Row],[Sysselsettingsvekst10-T]])*100/S$439</f>
        <v>10.286332878776719</v>
      </c>
      <c r="AD275" s="7">
        <f>100-(T$436-Tabell2[[#This Row],[Yrkesaktivandel-T]])*100/T$439</f>
        <v>79.015448042195032</v>
      </c>
      <c r="AE275" s="7">
        <f>100-(U$436-Tabell2[[#This Row],[Inntekt-T]])*100/U$439</f>
        <v>45.356054621374561</v>
      </c>
      <c r="AF275" s="7">
        <v>14</v>
      </c>
      <c r="AG275" s="7">
        <v>3.3567824497264582</v>
      </c>
      <c r="AH275" s="7">
        <v>1.6382799530591088</v>
      </c>
      <c r="AI275" s="7">
        <v>8.523462743308448</v>
      </c>
      <c r="AJ275" s="7">
        <v>2.3604122924523208</v>
      </c>
      <c r="AK275" s="7">
        <v>3.4172285637777913</v>
      </c>
      <c r="AL275" s="7">
        <v>1.0286332878776718</v>
      </c>
      <c r="AM275" s="7">
        <v>7.9015448042195038</v>
      </c>
      <c r="AN275" s="7">
        <v>4.5356054621374566</v>
      </c>
      <c r="AO27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46.761949556558761</v>
      </c>
    </row>
    <row r="276" spans="1:41" x14ac:dyDescent="0.3">
      <c r="A276" s="2" t="s">
        <v>273</v>
      </c>
      <c r="B276">
        <f>'Rådata-K'!N275</f>
        <v>4</v>
      </c>
      <c r="C276" s="7">
        <f>'Rådata-K'!M275</f>
        <v>190.36666666669998</v>
      </c>
      <c r="D276" s="24">
        <f>'Rådata-K'!O275</f>
        <v>41.719342604298362</v>
      </c>
      <c r="E276" s="24">
        <f>'Rådata-K'!P275</f>
        <v>38.490377405648587</v>
      </c>
      <c r="F276" s="24">
        <f>'Rådata-K'!Q275</f>
        <v>0.26992853216052781</v>
      </c>
      <c r="G276" s="24">
        <f>'Rådata-K'!R275</f>
        <v>0.13203463203463203</v>
      </c>
      <c r="H276" s="24">
        <f>'Rådata-K'!S275</f>
        <v>0.12121212121212122</v>
      </c>
      <c r="I276" s="24">
        <f>'Rådata-K'!T275</f>
        <v>0.36972477064220177</v>
      </c>
      <c r="J276" s="24">
        <f>'Rådata-K'!U275</f>
        <v>0.86493506493506489</v>
      </c>
      <c r="K276" s="24">
        <f>'Rådata-K'!L275</f>
        <v>408500</v>
      </c>
      <c r="L276" s="24">
        <f>Tabell2[[#This Row],[NIBR11]]</f>
        <v>4</v>
      </c>
      <c r="M276" s="24">
        <f>IF(Tabell2[[#This Row],[ReisetidOslo]]&lt;=C$434,C$434,IF(Tabell2[[#This Row],[ReisetidOslo]]&gt;=C$435,C$435,Tabell2[[#This Row],[ReisetidOslo]]))</f>
        <v>190.36666666669998</v>
      </c>
      <c r="N276" s="24">
        <f>IF(Tabell2[[#This Row],[Beftettland]]&lt;=D$434,D$434,IF(Tabell2[[#This Row],[Beftettland]]&gt;=D$435,D$435,Tabell2[[#This Row],[Beftettland]]))</f>
        <v>41.719342604298362</v>
      </c>
      <c r="O276" s="24">
        <f>IF(Tabell2[[#This Row],[Beftettotal]]&lt;=E$434,E$434,IF(Tabell2[[#This Row],[Beftettotal]]&gt;=E$435,E$435,Tabell2[[#This Row],[Beftettotal]]))</f>
        <v>38.490377405648587</v>
      </c>
      <c r="P276" s="24">
        <f>IF(Tabell2[[#This Row],[Befvekst10]]&lt;=F$434,F$434,IF(Tabell2[[#This Row],[Befvekst10]]&gt;=F$435,F$435,Tabell2[[#This Row],[Befvekst10]]))</f>
        <v>0.17599648151968622</v>
      </c>
      <c r="Q276" s="24">
        <f>IF(Tabell2[[#This Row],[Kvinneandel]]&lt;=G$434,G$434,IF(Tabell2[[#This Row],[Kvinneandel]]&gt;=G$435,G$435,Tabell2[[#This Row],[Kvinneandel]]))</f>
        <v>0.12758728250318055</v>
      </c>
      <c r="R276" s="24">
        <f>IF(Tabell2[[#This Row],[Eldreandel]]&lt;=H$434,H$434,IF(Tabell2[[#This Row],[Eldreandel]]&gt;=H$435,H$435,Tabell2[[#This Row],[Eldreandel]]))</f>
        <v>0.12767243783057225</v>
      </c>
      <c r="S276" s="24">
        <f>IF(Tabell2[[#This Row],[Sysselsettingsvekst10]]&lt;=I$434,I$434,IF(Tabell2[[#This Row],[Sysselsettingsvekst10]]&gt;=I$435,I$435,Tabell2[[#This Row],[Sysselsettingsvekst10]]))</f>
        <v>0.21384805931725109</v>
      </c>
      <c r="T276" s="24">
        <f>IF(Tabell2[[#This Row],[Yrkesaktivandel]]&lt;=J$434,J$434,IF(Tabell2[[#This Row],[Yrkesaktivandel]]&gt;=J$435,J$435,Tabell2[[#This Row],[Yrkesaktivandel]]))</f>
        <v>0.86493506493506489</v>
      </c>
      <c r="U276" s="24">
        <f>IF(Tabell2[[#This Row],[Inntekt]]&lt;=K$434,K$434,IF(Tabell2[[#This Row],[Inntekt]]&gt;=K$435,K$435,Tabell2[[#This Row],[Inntekt]]))</f>
        <v>408500</v>
      </c>
      <c r="V276" s="7">
        <f>IF(Tabell2[[#This Row],[NIBR11-T]]&lt;=L$437,100,IF(Tabell2[[#This Row],[NIBR11-T]]&gt;=L$436,0,100*(L$436-Tabell2[[#This Row],[NIBR11-T]])/L$439))</f>
        <v>70</v>
      </c>
      <c r="W276" s="7">
        <f>(M$436-Tabell2[[#This Row],[ReisetidOslo-T]])*100/M$439</f>
        <v>39.527605118821555</v>
      </c>
      <c r="X276" s="7">
        <f>100-(N$436-Tabell2[[#This Row],[Beftettland-T]])*100/N$439</f>
        <v>29.822488071854252</v>
      </c>
      <c r="Y276" s="7">
        <f>100-(O$436-Tabell2[[#This Row],[Beftettotal-T]])*100/O$439</f>
        <v>28.453122801764977</v>
      </c>
      <c r="Z276" s="7">
        <f>100-(P$436-Tabell2[[#This Row],[Befvekst10-T]])*100/P$439</f>
        <v>100</v>
      </c>
      <c r="AA276" s="7">
        <f>100-(Q$436-Tabell2[[#This Row],[Kvinneandel-T]])*100/Q$439</f>
        <v>100</v>
      </c>
      <c r="AB276" s="7">
        <f>(R$436-Tabell2[[#This Row],[Eldreandel-T]])*100/R$439</f>
        <v>100</v>
      </c>
      <c r="AC276" s="7">
        <f>100-(S$436-Tabell2[[#This Row],[Sysselsettingsvekst10-T]])*100/S$439</f>
        <v>100</v>
      </c>
      <c r="AD276" s="7">
        <f>100-(T$436-Tabell2[[#This Row],[Yrkesaktivandel-T]])*100/T$439</f>
        <v>46.585220376184708</v>
      </c>
      <c r="AE276" s="7">
        <f>100-(U$436-Tabell2[[#This Row],[Inntekt-T]])*100/U$439</f>
        <v>72.32817966369484</v>
      </c>
      <c r="AF276" s="7">
        <v>14</v>
      </c>
      <c r="AG276" s="7">
        <v>3.9527605118821558</v>
      </c>
      <c r="AH276" s="7">
        <v>2.8453122801764978</v>
      </c>
      <c r="AI276" s="7">
        <v>20</v>
      </c>
      <c r="AJ276" s="7">
        <v>5</v>
      </c>
      <c r="AK276" s="7">
        <v>5</v>
      </c>
      <c r="AL276" s="7">
        <v>10</v>
      </c>
      <c r="AM276" s="7">
        <v>4.6585220376184706</v>
      </c>
      <c r="AN276" s="7">
        <v>7.2328179663694847</v>
      </c>
      <c r="AO27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72.689412796046597</v>
      </c>
    </row>
    <row r="277" spans="1:41" x14ac:dyDescent="0.3">
      <c r="A277" s="2" t="s">
        <v>274</v>
      </c>
      <c r="B277">
        <f>'Rådata-K'!N276</f>
        <v>4</v>
      </c>
      <c r="C277" s="7">
        <f>'Rådata-K'!M276</f>
        <v>193.61666666669998</v>
      </c>
      <c r="D277" s="24">
        <f>'Rådata-K'!O276</f>
        <v>156.91498685363717</v>
      </c>
      <c r="E277" s="24">
        <f>'Rådata-K'!P276</f>
        <v>153.02564102564102</v>
      </c>
      <c r="F277" s="24">
        <f>'Rådata-K'!Q276</f>
        <v>0.19328179152226066</v>
      </c>
      <c r="G277" s="24">
        <f>'Rådata-K'!R276</f>
        <v>0.12365951742627346</v>
      </c>
      <c r="H277" s="24">
        <f>'Rådata-K'!S276</f>
        <v>0.13315460232350312</v>
      </c>
      <c r="I277" s="24">
        <f>'Rådata-K'!T276</f>
        <v>0.17697664891437936</v>
      </c>
      <c r="J277" s="24">
        <f>'Rådata-K'!U276</f>
        <v>0.88882306477093209</v>
      </c>
      <c r="K277" s="24">
        <f>'Rådata-K'!L276</f>
        <v>400500</v>
      </c>
      <c r="L277" s="24">
        <f>Tabell2[[#This Row],[NIBR11]]</f>
        <v>4</v>
      </c>
      <c r="M277" s="24">
        <f>IF(Tabell2[[#This Row],[ReisetidOslo]]&lt;=C$434,C$434,IF(Tabell2[[#This Row],[ReisetidOslo]]&gt;=C$435,C$435,Tabell2[[#This Row],[ReisetidOslo]]))</f>
        <v>193.61666666669998</v>
      </c>
      <c r="N277" s="24">
        <f>IF(Tabell2[[#This Row],[Beftettland]]&lt;=D$434,D$434,IF(Tabell2[[#This Row],[Beftettland]]&gt;=D$435,D$435,Tabell2[[#This Row],[Beftettland]]))</f>
        <v>136.59179999736304</v>
      </c>
      <c r="O277" s="24">
        <f>IF(Tabell2[[#This Row],[Beftettotal]]&lt;=E$434,E$434,IF(Tabell2[[#This Row],[Beftettotal]]&gt;=E$435,E$435,Tabell2[[#This Row],[Beftettotal]]))</f>
        <v>131.96212083018065</v>
      </c>
      <c r="P277" s="24">
        <f>IF(Tabell2[[#This Row],[Befvekst10]]&lt;=F$434,F$434,IF(Tabell2[[#This Row],[Befvekst10]]&gt;=F$435,F$435,Tabell2[[#This Row],[Befvekst10]]))</f>
        <v>0.17599648151968622</v>
      </c>
      <c r="Q277" s="24">
        <f>IF(Tabell2[[#This Row],[Kvinneandel]]&lt;=G$434,G$434,IF(Tabell2[[#This Row],[Kvinneandel]]&gt;=G$435,G$435,Tabell2[[#This Row],[Kvinneandel]]))</f>
        <v>0.12365951742627346</v>
      </c>
      <c r="R277" s="24">
        <f>IF(Tabell2[[#This Row],[Eldreandel]]&lt;=H$434,H$434,IF(Tabell2[[#This Row],[Eldreandel]]&gt;=H$435,H$435,Tabell2[[#This Row],[Eldreandel]]))</f>
        <v>0.13315460232350312</v>
      </c>
      <c r="S277" s="24">
        <f>IF(Tabell2[[#This Row],[Sysselsettingsvekst10]]&lt;=I$434,I$434,IF(Tabell2[[#This Row],[Sysselsettingsvekst10]]&gt;=I$435,I$435,Tabell2[[#This Row],[Sysselsettingsvekst10]]))</f>
        <v>0.17697664891437936</v>
      </c>
      <c r="T277" s="24">
        <f>IF(Tabell2[[#This Row],[Yrkesaktivandel]]&lt;=J$434,J$434,IF(Tabell2[[#This Row],[Yrkesaktivandel]]&gt;=J$435,J$435,Tabell2[[#This Row],[Yrkesaktivandel]]))</f>
        <v>0.88882306477093209</v>
      </c>
      <c r="U277" s="24">
        <f>IF(Tabell2[[#This Row],[Inntekt]]&lt;=K$434,K$434,IF(Tabell2[[#This Row],[Inntekt]]&gt;=K$435,K$435,Tabell2[[#This Row],[Inntekt]]))</f>
        <v>400500</v>
      </c>
      <c r="V277" s="7">
        <f>IF(Tabell2[[#This Row],[NIBR11-T]]&lt;=L$437,100,IF(Tabell2[[#This Row],[NIBR11-T]]&gt;=L$436,0,100*(L$436-Tabell2[[#This Row],[NIBR11-T]])/L$439))</f>
        <v>70</v>
      </c>
      <c r="W277" s="7">
        <f>(M$436-Tabell2[[#This Row],[ReisetidOslo-T]])*100/M$439</f>
        <v>38.101645338200129</v>
      </c>
      <c r="X277" s="7">
        <f>100-(N$436-Tabell2[[#This Row],[Beftettland-T]])*100/N$439</f>
        <v>100</v>
      </c>
      <c r="Y277" s="7">
        <f>100-(O$436-Tabell2[[#This Row],[Beftettotal-T]])*100/O$439</f>
        <v>100</v>
      </c>
      <c r="Z277" s="7">
        <f>100-(P$436-Tabell2[[#This Row],[Befvekst10-T]])*100/P$439</f>
        <v>100</v>
      </c>
      <c r="AA277" s="7">
        <f>100-(Q$436-Tabell2[[#This Row],[Kvinneandel-T]])*100/Q$439</f>
        <v>89.681551906302516</v>
      </c>
      <c r="AB277" s="7">
        <f>(R$436-Tabell2[[#This Row],[Eldreandel-T]])*100/R$439</f>
        <v>94.083347471044505</v>
      </c>
      <c r="AC277" s="7">
        <f>100-(S$436-Tabell2[[#This Row],[Sysselsettingsvekst10-T]])*100/S$439</f>
        <v>87.966967251200515</v>
      </c>
      <c r="AD277" s="7">
        <f>100-(T$436-Tabell2[[#This Row],[Yrkesaktivandel-T]])*100/T$439</f>
        <v>63.433279090711999</v>
      </c>
      <c r="AE277" s="7">
        <f>100-(U$436-Tabell2[[#This Row],[Inntekt-T]])*100/U$439</f>
        <v>63.299853289696422</v>
      </c>
      <c r="AF277" s="7">
        <v>14</v>
      </c>
      <c r="AG277" s="7">
        <v>3.810164533820013</v>
      </c>
      <c r="AH277" s="7">
        <v>10</v>
      </c>
      <c r="AI277" s="7">
        <v>20</v>
      </c>
      <c r="AJ277" s="7">
        <v>4.4840775953151262</v>
      </c>
      <c r="AK277" s="7">
        <v>4.7041673735522256</v>
      </c>
      <c r="AL277" s="7">
        <v>8.7966967251200519</v>
      </c>
      <c r="AM277" s="7">
        <v>6.3433279090712</v>
      </c>
      <c r="AN277" s="7">
        <v>6.3299853289696424</v>
      </c>
      <c r="AO27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78.468419465848271</v>
      </c>
    </row>
    <row r="278" spans="1:41" x14ac:dyDescent="0.3">
      <c r="A278" s="2" t="s">
        <v>275</v>
      </c>
      <c r="B278">
        <f>'Rådata-K'!N277</f>
        <v>4</v>
      </c>
      <c r="C278" s="7">
        <f>'Rådata-K'!M277</f>
        <v>163.05000000000001</v>
      </c>
      <c r="D278" s="24">
        <f>'Rådata-K'!O277</f>
        <v>203.00978179082017</v>
      </c>
      <c r="E278" s="24">
        <f>'Rådata-K'!P277</f>
        <v>199.70392301998524</v>
      </c>
      <c r="F278" s="24">
        <f>'Rådata-K'!Q277</f>
        <v>0.22081447963800915</v>
      </c>
      <c r="G278" s="24">
        <f>'Rådata-K'!R277</f>
        <v>0.12503088707684704</v>
      </c>
      <c r="H278" s="24">
        <f>'Rådata-K'!S277</f>
        <v>0.12849023968371634</v>
      </c>
      <c r="I278" s="24">
        <f>'Rådata-K'!T277</f>
        <v>0.12972972972972974</v>
      </c>
      <c r="J278" s="24">
        <f>'Rådata-K'!U277</f>
        <v>0.88497499456403561</v>
      </c>
      <c r="K278" s="24">
        <f>'Rådata-K'!L277</f>
        <v>435000</v>
      </c>
      <c r="L278" s="24">
        <f>Tabell2[[#This Row],[NIBR11]]</f>
        <v>4</v>
      </c>
      <c r="M278" s="24">
        <f>IF(Tabell2[[#This Row],[ReisetidOslo]]&lt;=C$434,C$434,IF(Tabell2[[#This Row],[ReisetidOslo]]&gt;=C$435,C$435,Tabell2[[#This Row],[ReisetidOslo]]))</f>
        <v>163.05000000000001</v>
      </c>
      <c r="N278" s="24">
        <f>IF(Tabell2[[#This Row],[Beftettland]]&lt;=D$434,D$434,IF(Tabell2[[#This Row],[Beftettland]]&gt;=D$435,D$435,Tabell2[[#This Row],[Beftettland]]))</f>
        <v>136.59179999736304</v>
      </c>
      <c r="O278" s="24">
        <f>IF(Tabell2[[#This Row],[Beftettotal]]&lt;=E$434,E$434,IF(Tabell2[[#This Row],[Beftettotal]]&gt;=E$435,E$435,Tabell2[[#This Row],[Beftettotal]]))</f>
        <v>131.96212083018065</v>
      </c>
      <c r="P278" s="24">
        <f>IF(Tabell2[[#This Row],[Befvekst10]]&lt;=F$434,F$434,IF(Tabell2[[#This Row],[Befvekst10]]&gt;=F$435,F$435,Tabell2[[#This Row],[Befvekst10]]))</f>
        <v>0.17599648151968622</v>
      </c>
      <c r="Q278" s="24">
        <f>IF(Tabell2[[#This Row],[Kvinneandel]]&lt;=G$434,G$434,IF(Tabell2[[#This Row],[Kvinneandel]]&gt;=G$435,G$435,Tabell2[[#This Row],[Kvinneandel]]))</f>
        <v>0.12503088707684704</v>
      </c>
      <c r="R278" s="24">
        <f>IF(Tabell2[[#This Row],[Eldreandel]]&lt;=H$434,H$434,IF(Tabell2[[#This Row],[Eldreandel]]&gt;=H$435,H$435,Tabell2[[#This Row],[Eldreandel]]))</f>
        <v>0.12849023968371634</v>
      </c>
      <c r="S278" s="24">
        <f>IF(Tabell2[[#This Row],[Sysselsettingsvekst10]]&lt;=I$434,I$434,IF(Tabell2[[#This Row],[Sysselsettingsvekst10]]&gt;=I$435,I$435,Tabell2[[#This Row],[Sysselsettingsvekst10]]))</f>
        <v>0.12972972972972974</v>
      </c>
      <c r="T278" s="24">
        <f>IF(Tabell2[[#This Row],[Yrkesaktivandel]]&lt;=J$434,J$434,IF(Tabell2[[#This Row],[Yrkesaktivandel]]&gt;=J$435,J$435,Tabell2[[#This Row],[Yrkesaktivandel]]))</f>
        <v>0.88497499456403561</v>
      </c>
      <c r="U278" s="24">
        <f>IF(Tabell2[[#This Row],[Inntekt]]&lt;=K$434,K$434,IF(Tabell2[[#This Row],[Inntekt]]&gt;=K$435,K$435,Tabell2[[#This Row],[Inntekt]]))</f>
        <v>433020</v>
      </c>
      <c r="V278" s="7">
        <f>IF(Tabell2[[#This Row],[NIBR11-T]]&lt;=L$437,100,IF(Tabell2[[#This Row],[NIBR11-T]]&gt;=L$436,0,100*(L$436-Tabell2[[#This Row],[NIBR11-T]])/L$439))</f>
        <v>70</v>
      </c>
      <c r="W278" s="7">
        <f>(M$436-Tabell2[[#This Row],[ReisetidOslo-T]])*100/M$439</f>
        <v>51.512979890315748</v>
      </c>
      <c r="X278" s="7">
        <f>100-(N$436-Tabell2[[#This Row],[Beftettland-T]])*100/N$439</f>
        <v>100</v>
      </c>
      <c r="Y278" s="7">
        <f>100-(O$436-Tabell2[[#This Row],[Beftettotal-T]])*100/O$439</f>
        <v>100</v>
      </c>
      <c r="Z278" s="7">
        <f>100-(P$436-Tabell2[[#This Row],[Befvekst10-T]])*100/P$439</f>
        <v>100</v>
      </c>
      <c r="AA278" s="7">
        <f>100-(Q$436-Tabell2[[#This Row],[Kvinneandel-T]])*100/Q$439</f>
        <v>93.284213032832582</v>
      </c>
      <c r="AB278" s="7">
        <f>(R$436-Tabell2[[#This Row],[Eldreandel-T]])*100/R$439</f>
        <v>99.117383396862905</v>
      </c>
      <c r="AC278" s="7">
        <f>100-(S$436-Tabell2[[#This Row],[Sysselsettingsvekst10-T]])*100/S$439</f>
        <v>72.547873714586231</v>
      </c>
      <c r="AD278" s="7">
        <f>100-(T$436-Tabell2[[#This Row],[Yrkesaktivandel-T]])*100/T$439</f>
        <v>60.719258945497884</v>
      </c>
      <c r="AE278" s="7">
        <f>100-(U$436-Tabell2[[#This Row],[Inntekt-T]])*100/U$439</f>
        <v>100</v>
      </c>
      <c r="AF278" s="7">
        <v>14</v>
      </c>
      <c r="AG278" s="7">
        <v>5.1512979890315753</v>
      </c>
      <c r="AH278" s="7">
        <v>10</v>
      </c>
      <c r="AI278" s="7">
        <v>20</v>
      </c>
      <c r="AJ278" s="7">
        <v>4.6642106516416293</v>
      </c>
      <c r="AK278" s="7">
        <v>4.9558691698431456</v>
      </c>
      <c r="AL278" s="7">
        <v>7.2547873714586233</v>
      </c>
      <c r="AM278" s="7">
        <v>6.0719258945497891</v>
      </c>
      <c r="AN278" s="7">
        <v>10</v>
      </c>
      <c r="AO27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82.098091076524767</v>
      </c>
    </row>
    <row r="279" spans="1:41" x14ac:dyDescent="0.3">
      <c r="A279" s="2" t="s">
        <v>276</v>
      </c>
      <c r="B279">
        <f>'Rådata-K'!N278</f>
        <v>4</v>
      </c>
      <c r="C279" s="7">
        <f>'Rådata-K'!M278</f>
        <v>196.9333333333</v>
      </c>
      <c r="D279" s="24">
        <f>'Rådata-K'!O278</f>
        <v>36.177742823436887</v>
      </c>
      <c r="E279" s="24">
        <f>'Rådata-K'!P278</f>
        <v>35.230144749942561</v>
      </c>
      <c r="F279" s="24">
        <f>'Rådata-K'!Q278</f>
        <v>6.4445215781557375E-2</v>
      </c>
      <c r="G279" s="24">
        <f>'Rådata-K'!R278</f>
        <v>0.10902173913043478</v>
      </c>
      <c r="H279" s="24">
        <f>'Rådata-K'!S278</f>
        <v>0.16793478260869565</v>
      </c>
      <c r="I279" s="24">
        <f>'Rådata-K'!T278</f>
        <v>5.9162697417899146E-2</v>
      </c>
      <c r="J279" s="24">
        <f>'Rådata-K'!U278</f>
        <v>0.8856976518532893</v>
      </c>
      <c r="K279" s="24">
        <f>'Rådata-K'!L278</f>
        <v>405900</v>
      </c>
      <c r="L279" s="24">
        <f>Tabell2[[#This Row],[NIBR11]]</f>
        <v>4</v>
      </c>
      <c r="M279" s="24">
        <f>IF(Tabell2[[#This Row],[ReisetidOslo]]&lt;=C$434,C$434,IF(Tabell2[[#This Row],[ReisetidOslo]]&gt;=C$435,C$435,Tabell2[[#This Row],[ReisetidOslo]]))</f>
        <v>196.9333333333</v>
      </c>
      <c r="N279" s="24">
        <f>IF(Tabell2[[#This Row],[Beftettland]]&lt;=D$434,D$434,IF(Tabell2[[#This Row],[Beftettland]]&gt;=D$435,D$435,Tabell2[[#This Row],[Beftettland]]))</f>
        <v>36.177742823436887</v>
      </c>
      <c r="O279" s="24">
        <f>IF(Tabell2[[#This Row],[Beftettotal]]&lt;=E$434,E$434,IF(Tabell2[[#This Row],[Beftettotal]]&gt;=E$435,E$435,Tabell2[[#This Row],[Beftettotal]]))</f>
        <v>35.230144749942561</v>
      </c>
      <c r="P279" s="24">
        <f>IF(Tabell2[[#This Row],[Befvekst10]]&lt;=F$434,F$434,IF(Tabell2[[#This Row],[Befvekst10]]&gt;=F$435,F$435,Tabell2[[#This Row],[Befvekst10]]))</f>
        <v>6.4445215781557375E-2</v>
      </c>
      <c r="Q279" s="24">
        <f>IF(Tabell2[[#This Row],[Kvinneandel]]&lt;=G$434,G$434,IF(Tabell2[[#This Row],[Kvinneandel]]&gt;=G$435,G$435,Tabell2[[#This Row],[Kvinneandel]]))</f>
        <v>0.10902173913043478</v>
      </c>
      <c r="R279" s="24">
        <f>IF(Tabell2[[#This Row],[Eldreandel]]&lt;=H$434,H$434,IF(Tabell2[[#This Row],[Eldreandel]]&gt;=H$435,H$435,Tabell2[[#This Row],[Eldreandel]]))</f>
        <v>0.16793478260869565</v>
      </c>
      <c r="S279" s="24">
        <f>IF(Tabell2[[#This Row],[Sysselsettingsvekst10]]&lt;=I$434,I$434,IF(Tabell2[[#This Row],[Sysselsettingsvekst10]]&gt;=I$435,I$435,Tabell2[[#This Row],[Sysselsettingsvekst10]]))</f>
        <v>5.9162697417899146E-2</v>
      </c>
      <c r="T279" s="24">
        <f>IF(Tabell2[[#This Row],[Yrkesaktivandel]]&lt;=J$434,J$434,IF(Tabell2[[#This Row],[Yrkesaktivandel]]&gt;=J$435,J$435,Tabell2[[#This Row],[Yrkesaktivandel]]))</f>
        <v>0.8856976518532893</v>
      </c>
      <c r="U279" s="24">
        <f>IF(Tabell2[[#This Row],[Inntekt]]&lt;=K$434,K$434,IF(Tabell2[[#This Row],[Inntekt]]&gt;=K$435,K$435,Tabell2[[#This Row],[Inntekt]]))</f>
        <v>405900</v>
      </c>
      <c r="V279" s="7">
        <f>IF(Tabell2[[#This Row],[NIBR11-T]]&lt;=L$437,100,IF(Tabell2[[#This Row],[NIBR11-T]]&gt;=L$436,0,100*(L$436-Tabell2[[#This Row],[NIBR11-T]])/L$439))</f>
        <v>70</v>
      </c>
      <c r="W279" s="7">
        <f>(M$436-Tabell2[[#This Row],[ReisetidOslo-T]])*100/M$439</f>
        <v>36.646435100569562</v>
      </c>
      <c r="X279" s="7">
        <f>100-(N$436-Tabell2[[#This Row],[Beftettland-T]])*100/N$439</f>
        <v>25.723345966667836</v>
      </c>
      <c r="Y279" s="7">
        <f>100-(O$436-Tabell2[[#This Row],[Beftettotal-T]])*100/O$439</f>
        <v>25.9576149947045</v>
      </c>
      <c r="Z279" s="7">
        <f>100-(P$436-Tabell2[[#This Row],[Befvekst10-T]])*100/P$439</f>
        <v>54.848392358054397</v>
      </c>
      <c r="AA279" s="7">
        <f>100-(Q$436-Tabell2[[#This Row],[Kvinneandel-T]])*100/Q$439</f>
        <v>51.227328551478472</v>
      </c>
      <c r="AB279" s="7">
        <f>(R$436-Tabell2[[#This Row],[Eldreandel-T]])*100/R$439</f>
        <v>56.546669776082233</v>
      </c>
      <c r="AC279" s="7">
        <f>100-(S$436-Tabell2[[#This Row],[Sysselsettingsvekst10-T]])*100/S$439</f>
        <v>49.51823092316986</v>
      </c>
      <c r="AD279" s="7">
        <f>100-(T$436-Tabell2[[#This Row],[Yrkesaktivandel-T]])*100/T$439</f>
        <v>61.228944667344976</v>
      </c>
      <c r="AE279" s="7">
        <f>100-(U$436-Tabell2[[#This Row],[Inntekt-T]])*100/U$439</f>
        <v>69.393973592145358</v>
      </c>
      <c r="AF279" s="7">
        <v>14</v>
      </c>
      <c r="AG279" s="7">
        <v>3.6646435100569565</v>
      </c>
      <c r="AH279" s="7">
        <v>2.5957614994704503</v>
      </c>
      <c r="AI279" s="7">
        <v>10.96967847161088</v>
      </c>
      <c r="AJ279" s="7">
        <v>2.5613664275739239</v>
      </c>
      <c r="AK279" s="7">
        <v>2.8273334888041117</v>
      </c>
      <c r="AL279" s="7">
        <v>4.9518230923169861</v>
      </c>
      <c r="AM279" s="7">
        <v>6.1228944667344978</v>
      </c>
      <c r="AN279" s="7">
        <v>6.9393973592145359</v>
      </c>
      <c r="AO27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54.632898315782349</v>
      </c>
    </row>
    <row r="280" spans="1:41" x14ac:dyDescent="0.3">
      <c r="A280" s="2" t="s">
        <v>277</v>
      </c>
      <c r="B280">
        <f>'Rådata-K'!N279</f>
        <v>4</v>
      </c>
      <c r="C280" s="7">
        <f>'Rådata-K'!M279</f>
        <v>204.3</v>
      </c>
      <c r="D280" s="24">
        <f>'Rådata-K'!O279</f>
        <v>19.024460431654678</v>
      </c>
      <c r="E280" s="24">
        <f>'Rådata-K'!P279</f>
        <v>18.780716456918839</v>
      </c>
      <c r="F280" s="24">
        <f>'Rådata-K'!Q279</f>
        <v>2.6234088792300492E-2</v>
      </c>
      <c r="G280" s="24">
        <f>'Rådata-K'!R279</f>
        <v>0.10301013462411134</v>
      </c>
      <c r="H280" s="24">
        <f>'Rådata-K'!S279</f>
        <v>0.16578429889577975</v>
      </c>
      <c r="I280" s="24">
        <f>'Rådata-K'!T279</f>
        <v>4.2857142857142261E-3</v>
      </c>
      <c r="J280" s="24">
        <f>'Rådata-K'!U279</f>
        <v>0.8352420614263405</v>
      </c>
      <c r="K280" s="24">
        <f>'Rådata-K'!L279</f>
        <v>376900</v>
      </c>
      <c r="L280" s="24">
        <f>Tabell2[[#This Row],[NIBR11]]</f>
        <v>4</v>
      </c>
      <c r="M280" s="24">
        <f>IF(Tabell2[[#This Row],[ReisetidOslo]]&lt;=C$434,C$434,IF(Tabell2[[#This Row],[ReisetidOslo]]&gt;=C$435,C$435,Tabell2[[#This Row],[ReisetidOslo]]))</f>
        <v>204.3</v>
      </c>
      <c r="N280" s="24">
        <f>IF(Tabell2[[#This Row],[Beftettland]]&lt;=D$434,D$434,IF(Tabell2[[#This Row],[Beftettland]]&gt;=D$435,D$435,Tabell2[[#This Row],[Beftettland]]))</f>
        <v>19.024460431654678</v>
      </c>
      <c r="O280" s="24">
        <f>IF(Tabell2[[#This Row],[Beftettotal]]&lt;=E$434,E$434,IF(Tabell2[[#This Row],[Beftettotal]]&gt;=E$435,E$435,Tabell2[[#This Row],[Beftettotal]]))</f>
        <v>18.780716456918839</v>
      </c>
      <c r="P280" s="24">
        <f>IF(Tabell2[[#This Row],[Befvekst10]]&lt;=F$434,F$434,IF(Tabell2[[#This Row],[Befvekst10]]&gt;=F$435,F$435,Tabell2[[#This Row],[Befvekst10]]))</f>
        <v>2.6234088792300492E-2</v>
      </c>
      <c r="Q280" s="24">
        <f>IF(Tabell2[[#This Row],[Kvinneandel]]&lt;=G$434,G$434,IF(Tabell2[[#This Row],[Kvinneandel]]&gt;=G$435,G$435,Tabell2[[#This Row],[Kvinneandel]]))</f>
        <v>0.10301013462411134</v>
      </c>
      <c r="R280" s="24">
        <f>IF(Tabell2[[#This Row],[Eldreandel]]&lt;=H$434,H$434,IF(Tabell2[[#This Row],[Eldreandel]]&gt;=H$435,H$435,Tabell2[[#This Row],[Eldreandel]]))</f>
        <v>0.16578429889577975</v>
      </c>
      <c r="S280" s="24">
        <f>IF(Tabell2[[#This Row],[Sysselsettingsvekst10]]&lt;=I$434,I$434,IF(Tabell2[[#This Row],[Sysselsettingsvekst10]]&gt;=I$435,I$435,Tabell2[[#This Row],[Sysselsettingsvekst10]]))</f>
        <v>4.2857142857142261E-3</v>
      </c>
      <c r="T280" s="24">
        <f>IF(Tabell2[[#This Row],[Yrkesaktivandel]]&lt;=J$434,J$434,IF(Tabell2[[#This Row],[Yrkesaktivandel]]&gt;=J$435,J$435,Tabell2[[#This Row],[Yrkesaktivandel]]))</f>
        <v>0.8352420614263405</v>
      </c>
      <c r="U280" s="24">
        <f>IF(Tabell2[[#This Row],[Inntekt]]&lt;=K$434,K$434,IF(Tabell2[[#This Row],[Inntekt]]&gt;=K$435,K$435,Tabell2[[#This Row],[Inntekt]]))</f>
        <v>376900</v>
      </c>
      <c r="V280" s="7">
        <f>IF(Tabell2[[#This Row],[NIBR11-T]]&lt;=L$437,100,IF(Tabell2[[#This Row],[NIBR11-T]]&gt;=L$436,0,100*(L$436-Tabell2[[#This Row],[NIBR11-T]])/L$439))</f>
        <v>70</v>
      </c>
      <c r="W280" s="7">
        <f>(M$436-Tabell2[[#This Row],[ReisetidOslo-T]])*100/M$439</f>
        <v>33.414259597813029</v>
      </c>
      <c r="X280" s="7">
        <f>100-(N$436-Tabell2[[#This Row],[Beftettland-T]])*100/N$439</f>
        <v>13.034998761020915</v>
      </c>
      <c r="Y280" s="7">
        <f>100-(O$436-Tabell2[[#This Row],[Beftettotal-T]])*100/O$439</f>
        <v>13.366588199399672</v>
      </c>
      <c r="Z280" s="7">
        <f>100-(P$436-Tabell2[[#This Row],[Befvekst10-T]])*100/P$439</f>
        <v>39.382016410105209</v>
      </c>
      <c r="AA280" s="7">
        <f>100-(Q$436-Tabell2[[#This Row],[Kvinneandel-T]])*100/Q$439</f>
        <v>35.434523268128373</v>
      </c>
      <c r="AB280" s="7">
        <f>(R$436-Tabell2[[#This Row],[Eldreandel-T]])*100/R$439</f>
        <v>58.867589718362041</v>
      </c>
      <c r="AC280" s="7">
        <f>100-(S$436-Tabell2[[#This Row],[Sysselsettingsvekst10-T]])*100/S$439</f>
        <v>31.609056091781582</v>
      </c>
      <c r="AD280" s="7">
        <f>100-(T$436-Tabell2[[#This Row],[Yrkesaktivandel-T]])*100/T$439</f>
        <v>25.642928431988025</v>
      </c>
      <c r="AE280" s="7">
        <f>100-(U$436-Tabell2[[#This Row],[Inntekt-T]])*100/U$439</f>
        <v>36.666290486401081</v>
      </c>
      <c r="AF280" s="7">
        <v>14</v>
      </c>
      <c r="AG280" s="7">
        <v>3.341425959781303</v>
      </c>
      <c r="AH280" s="7">
        <v>1.3366588199399674</v>
      </c>
      <c r="AI280" s="7">
        <v>7.8764032820210419</v>
      </c>
      <c r="AJ280" s="7">
        <v>1.7717261634064188</v>
      </c>
      <c r="AK280" s="7">
        <v>2.9433794859181024</v>
      </c>
      <c r="AL280" s="7">
        <v>3.1609056091781582</v>
      </c>
      <c r="AM280" s="7">
        <v>2.5642928431988028</v>
      </c>
      <c r="AN280" s="7">
        <v>3.6666290486401083</v>
      </c>
      <c r="AO28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40.661421212083901</v>
      </c>
    </row>
    <row r="281" spans="1:41" x14ac:dyDescent="0.3">
      <c r="A281" s="2" t="s">
        <v>278</v>
      </c>
      <c r="B281">
        <f>'Rådata-K'!N280</f>
        <v>5</v>
      </c>
      <c r="C281" s="7">
        <f>'Rådata-K'!M280</f>
        <v>203.11666666669998</v>
      </c>
      <c r="D281" s="24">
        <f>'Rådata-K'!O280</f>
        <v>5.1955977503311397</v>
      </c>
      <c r="E281" s="24">
        <f>'Rådata-K'!P280</f>
        <v>4.9875842969649762</v>
      </c>
      <c r="F281" s="24">
        <f>'Rådata-K'!Q280</f>
        <v>1.973594664488898E-2</v>
      </c>
      <c r="G281" s="24">
        <f>'Rådata-K'!R280</f>
        <v>0.10157501334757074</v>
      </c>
      <c r="H281" s="24">
        <f>'Rådata-K'!S280</f>
        <v>0.18846769887880405</v>
      </c>
      <c r="I281" s="24">
        <f>'Rådata-K'!T280</f>
        <v>-3.8575667655786905E-3</v>
      </c>
      <c r="J281" s="24">
        <f>'Rådata-K'!U280</f>
        <v>0.89462209302325579</v>
      </c>
      <c r="K281" s="24">
        <f>'Rådata-K'!L280</f>
        <v>387300</v>
      </c>
      <c r="L281" s="24">
        <f>Tabell2[[#This Row],[NIBR11]]</f>
        <v>5</v>
      </c>
      <c r="M281" s="24">
        <f>IF(Tabell2[[#This Row],[ReisetidOslo]]&lt;=C$434,C$434,IF(Tabell2[[#This Row],[ReisetidOslo]]&gt;=C$435,C$435,Tabell2[[#This Row],[ReisetidOslo]]))</f>
        <v>203.11666666669998</v>
      </c>
      <c r="N281" s="24">
        <f>IF(Tabell2[[#This Row],[Beftettland]]&lt;=D$434,D$434,IF(Tabell2[[#This Row],[Beftettland]]&gt;=D$435,D$435,Tabell2[[#This Row],[Beftettland]]))</f>
        <v>5.1955977503311397</v>
      </c>
      <c r="O281" s="24">
        <f>IF(Tabell2[[#This Row],[Beftettotal]]&lt;=E$434,E$434,IF(Tabell2[[#This Row],[Beftettotal]]&gt;=E$435,E$435,Tabell2[[#This Row],[Beftettotal]]))</f>
        <v>4.9875842969649762</v>
      </c>
      <c r="P281" s="24">
        <f>IF(Tabell2[[#This Row],[Befvekst10]]&lt;=F$434,F$434,IF(Tabell2[[#This Row],[Befvekst10]]&gt;=F$435,F$435,Tabell2[[#This Row],[Befvekst10]]))</f>
        <v>1.973594664488898E-2</v>
      </c>
      <c r="Q281" s="24">
        <f>IF(Tabell2[[#This Row],[Kvinneandel]]&lt;=G$434,G$434,IF(Tabell2[[#This Row],[Kvinneandel]]&gt;=G$435,G$435,Tabell2[[#This Row],[Kvinneandel]]))</f>
        <v>0.10157501334757074</v>
      </c>
      <c r="R281" s="24">
        <f>IF(Tabell2[[#This Row],[Eldreandel]]&lt;=H$434,H$434,IF(Tabell2[[#This Row],[Eldreandel]]&gt;=H$435,H$435,Tabell2[[#This Row],[Eldreandel]]))</f>
        <v>0.18846769887880405</v>
      </c>
      <c r="S281" s="24">
        <f>IF(Tabell2[[#This Row],[Sysselsettingsvekst10]]&lt;=I$434,I$434,IF(Tabell2[[#This Row],[Sysselsettingsvekst10]]&gt;=I$435,I$435,Tabell2[[#This Row],[Sysselsettingsvekst10]]))</f>
        <v>-3.8575667655786905E-3</v>
      </c>
      <c r="T281" s="24">
        <f>IF(Tabell2[[#This Row],[Yrkesaktivandel]]&lt;=J$434,J$434,IF(Tabell2[[#This Row],[Yrkesaktivandel]]&gt;=J$435,J$435,Tabell2[[#This Row],[Yrkesaktivandel]]))</f>
        <v>0.89462209302325579</v>
      </c>
      <c r="U281" s="24">
        <f>IF(Tabell2[[#This Row],[Inntekt]]&lt;=K$434,K$434,IF(Tabell2[[#This Row],[Inntekt]]&gt;=K$435,K$435,Tabell2[[#This Row],[Inntekt]]))</f>
        <v>387300</v>
      </c>
      <c r="V281" s="7">
        <f>IF(Tabell2[[#This Row],[NIBR11-T]]&lt;=L$437,100,IF(Tabell2[[#This Row],[NIBR11-T]]&gt;=L$436,0,100*(L$436-Tabell2[[#This Row],[NIBR11-T]])/L$439))</f>
        <v>60</v>
      </c>
      <c r="W281" s="7">
        <f>(M$436-Tabell2[[#This Row],[ReisetidOslo-T]])*100/M$439</f>
        <v>33.933455210229809</v>
      </c>
      <c r="X281" s="7">
        <f>100-(N$436-Tabell2[[#This Row],[Beftettland-T]])*100/N$439</f>
        <v>2.8057372615478897</v>
      </c>
      <c r="Y281" s="7">
        <f>100-(O$436-Tabell2[[#This Row],[Beftettotal-T]])*100/O$439</f>
        <v>2.8087929056377732</v>
      </c>
      <c r="Z281" s="7">
        <f>100-(P$436-Tabell2[[#This Row],[Befvekst10-T]])*100/P$439</f>
        <v>36.75182156022975</v>
      </c>
      <c r="AA281" s="7">
        <f>100-(Q$436-Tabell2[[#This Row],[Kvinneandel-T]])*100/Q$439</f>
        <v>31.664383224058909</v>
      </c>
      <c r="AB281" s="7">
        <f>(R$436-Tabell2[[#This Row],[Eldreandel-T]])*100/R$439</f>
        <v>34.386420638534126</v>
      </c>
      <c r="AC281" s="7">
        <f>100-(S$436-Tabell2[[#This Row],[Sysselsettingsvekst10-T]])*100/S$439</f>
        <v>28.951485727582707</v>
      </c>
      <c r="AD281" s="7">
        <f>100-(T$436-Tabell2[[#This Row],[Yrkesaktivandel-T]])*100/T$439</f>
        <v>67.523297893192677</v>
      </c>
      <c r="AE281" s="7">
        <f>100-(U$436-Tabell2[[#This Row],[Inntekt-T]])*100/U$439</f>
        <v>48.403114772599032</v>
      </c>
      <c r="AF281" s="7">
        <v>12</v>
      </c>
      <c r="AG281" s="7">
        <v>3.3933455210229813</v>
      </c>
      <c r="AH281" s="7">
        <v>0.28087929056377731</v>
      </c>
      <c r="AI281" s="7">
        <v>7.3503643120459508</v>
      </c>
      <c r="AJ281" s="7">
        <v>1.5832191612029456</v>
      </c>
      <c r="AK281" s="7">
        <v>1.7193210319267065</v>
      </c>
      <c r="AL281" s="7">
        <v>2.8951485727582709</v>
      </c>
      <c r="AM281" s="7">
        <v>6.7523297893192682</v>
      </c>
      <c r="AN281" s="7">
        <v>4.8403114772599034</v>
      </c>
      <c r="AO28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40.814919156099798</v>
      </c>
    </row>
    <row r="282" spans="1:41" x14ac:dyDescent="0.3">
      <c r="A282" s="2" t="s">
        <v>279</v>
      </c>
      <c r="B282">
        <f>'Rådata-K'!N281</f>
        <v>4</v>
      </c>
      <c r="C282" s="7">
        <f>'Rådata-K'!M281</f>
        <v>191.51666666669999</v>
      </c>
      <c r="D282" s="24">
        <f>'Rådata-K'!O281</f>
        <v>3.0134234316500774</v>
      </c>
      <c r="E282" s="24">
        <f>'Rådata-K'!P281</f>
        <v>2.8391710003059041</v>
      </c>
      <c r="F282" s="24">
        <f>'Rådata-K'!Q281</f>
        <v>-5.3838802166294997E-2</v>
      </c>
      <c r="G282" s="24">
        <f>'Rådata-K'!R281</f>
        <v>9.7306397306397313E-2</v>
      </c>
      <c r="H282" s="24">
        <f>'Rådata-K'!S281</f>
        <v>0.19225589225589226</v>
      </c>
      <c r="I282" s="24">
        <f>'Rådata-K'!T281</f>
        <v>-0.26817042606516295</v>
      </c>
      <c r="J282" s="24">
        <f>'Rådata-K'!U281</f>
        <v>0.87753882915173242</v>
      </c>
      <c r="K282" s="24">
        <f>'Rådata-K'!L281</f>
        <v>380600</v>
      </c>
      <c r="L282" s="24">
        <f>Tabell2[[#This Row],[NIBR11]]</f>
        <v>4</v>
      </c>
      <c r="M282" s="24">
        <f>IF(Tabell2[[#This Row],[ReisetidOslo]]&lt;=C$434,C$434,IF(Tabell2[[#This Row],[ReisetidOslo]]&gt;=C$435,C$435,Tabell2[[#This Row],[ReisetidOslo]]))</f>
        <v>191.51666666669999</v>
      </c>
      <c r="N282" s="24">
        <f>IF(Tabell2[[#This Row],[Beftettland]]&lt;=D$434,D$434,IF(Tabell2[[#This Row],[Beftettland]]&gt;=D$435,D$435,Tabell2[[#This Row],[Beftettland]]))</f>
        <v>3.0134234316500774</v>
      </c>
      <c r="O282" s="24">
        <f>IF(Tabell2[[#This Row],[Beftettotal]]&lt;=E$434,E$434,IF(Tabell2[[#This Row],[Beftettotal]]&gt;=E$435,E$435,Tabell2[[#This Row],[Beftettotal]]))</f>
        <v>2.8391710003059041</v>
      </c>
      <c r="P282" s="24">
        <f>IF(Tabell2[[#This Row],[Befvekst10]]&lt;=F$434,F$434,IF(Tabell2[[#This Row],[Befvekst10]]&gt;=F$435,F$435,Tabell2[[#This Row],[Befvekst10]]))</f>
        <v>-5.3838802166294997E-2</v>
      </c>
      <c r="Q282" s="24">
        <f>IF(Tabell2[[#This Row],[Kvinneandel]]&lt;=G$434,G$434,IF(Tabell2[[#This Row],[Kvinneandel]]&gt;=G$435,G$435,Tabell2[[#This Row],[Kvinneandel]]))</f>
        <v>9.7306397306397313E-2</v>
      </c>
      <c r="R282" s="24">
        <f>IF(Tabell2[[#This Row],[Eldreandel]]&lt;=H$434,H$434,IF(Tabell2[[#This Row],[Eldreandel]]&gt;=H$435,H$435,Tabell2[[#This Row],[Eldreandel]]))</f>
        <v>0.19225589225589226</v>
      </c>
      <c r="S282" s="24">
        <f>IF(Tabell2[[#This Row],[Sysselsettingsvekst10]]&lt;=I$434,I$434,IF(Tabell2[[#This Row],[Sysselsettingsvekst10]]&gt;=I$435,I$435,Tabell2[[#This Row],[Sysselsettingsvekst10]]))</f>
        <v>-9.2570207570207563E-2</v>
      </c>
      <c r="T282" s="24">
        <f>IF(Tabell2[[#This Row],[Yrkesaktivandel]]&lt;=J$434,J$434,IF(Tabell2[[#This Row],[Yrkesaktivandel]]&gt;=J$435,J$435,Tabell2[[#This Row],[Yrkesaktivandel]]))</f>
        <v>0.87753882915173242</v>
      </c>
      <c r="U282" s="24">
        <f>IF(Tabell2[[#This Row],[Inntekt]]&lt;=K$434,K$434,IF(Tabell2[[#This Row],[Inntekt]]&gt;=K$435,K$435,Tabell2[[#This Row],[Inntekt]]))</f>
        <v>380600</v>
      </c>
      <c r="V282" s="7">
        <f>IF(Tabell2[[#This Row],[NIBR11-T]]&lt;=L$437,100,IF(Tabell2[[#This Row],[NIBR11-T]]&gt;=L$436,0,100*(L$436-Tabell2[[#This Row],[NIBR11-T]])/L$439))</f>
        <v>70</v>
      </c>
      <c r="W282" s="7">
        <f>(M$436-Tabell2[[#This Row],[ReisetidOslo-T]])*100/M$439</f>
        <v>39.023034734909352</v>
      </c>
      <c r="X282" s="7">
        <f>100-(N$436-Tabell2[[#This Row],[Beftettland-T]])*100/N$439</f>
        <v>1.1915747481425143</v>
      </c>
      <c r="Y282" s="7">
        <f>100-(O$436-Tabell2[[#This Row],[Beftettotal-T]])*100/O$439</f>
        <v>1.1643145138205853</v>
      </c>
      <c r="Z282" s="7">
        <f>100-(P$436-Tabell2[[#This Row],[Befvekst10-T]])*100/P$439</f>
        <v>6.9716288506655673</v>
      </c>
      <c r="AA282" s="7">
        <f>100-(Q$436-Tabell2[[#This Row],[Kvinneandel-T]])*100/Q$439</f>
        <v>20.450501489702233</v>
      </c>
      <c r="AB282" s="7">
        <f>(R$436-Tabell2[[#This Row],[Eldreandel-T]])*100/R$439</f>
        <v>30.297994624753798</v>
      </c>
      <c r="AC282" s="7">
        <f>100-(S$436-Tabell2[[#This Row],[Sysselsettingsvekst10-T]])*100/S$439</f>
        <v>0</v>
      </c>
      <c r="AD282" s="7">
        <f>100-(T$436-Tabell2[[#This Row],[Yrkesaktivandel-T]])*100/T$439</f>
        <v>55.474577417607506</v>
      </c>
      <c r="AE282" s="7">
        <f>100-(U$436-Tabell2[[#This Row],[Inntekt-T]])*100/U$439</f>
        <v>40.841891434375356</v>
      </c>
      <c r="AF282" s="7">
        <v>14</v>
      </c>
      <c r="AG282" s="7">
        <v>3.9023034734909352</v>
      </c>
      <c r="AH282" s="7">
        <v>0.11643145138205853</v>
      </c>
      <c r="AI282" s="7">
        <v>1.3943257701331135</v>
      </c>
      <c r="AJ282" s="7">
        <v>1.0225250744851118</v>
      </c>
      <c r="AK282" s="7">
        <v>1.51489973123769</v>
      </c>
      <c r="AL282" s="7">
        <v>0</v>
      </c>
      <c r="AM282" s="7">
        <v>5.5474577417607511</v>
      </c>
      <c r="AN282" s="7">
        <v>4.0841891434375359</v>
      </c>
      <c r="AO28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31.582132385927203</v>
      </c>
    </row>
    <row r="283" spans="1:41" x14ac:dyDescent="0.3">
      <c r="A283" s="2" t="s">
        <v>280</v>
      </c>
      <c r="B283">
        <f>'Rådata-K'!N282</f>
        <v>4</v>
      </c>
      <c r="C283" s="7">
        <f>'Rådata-K'!M282</f>
        <v>189.4166666667</v>
      </c>
      <c r="D283" s="24">
        <f>'Rådata-K'!O282</f>
        <v>22.238790073490254</v>
      </c>
      <c r="E283" s="24">
        <f>'Rådata-K'!P282</f>
        <v>22.060221870047542</v>
      </c>
      <c r="F283" s="24">
        <f>'Rådata-K'!Q282</f>
        <v>8.5803432137285585E-2</v>
      </c>
      <c r="G283" s="24">
        <f>'Rådata-K'!R282</f>
        <v>0.10057471264367816</v>
      </c>
      <c r="H283" s="24">
        <f>'Rådata-K'!S282</f>
        <v>0.18678160919540229</v>
      </c>
      <c r="I283" s="24">
        <f>'Rådata-K'!T282</f>
        <v>0.13254593175853024</v>
      </c>
      <c r="J283" s="24">
        <f>'Rådata-K'!U282</f>
        <v>0.91651205936920221</v>
      </c>
      <c r="K283" s="24">
        <f>'Rådata-K'!L282</f>
        <v>399000</v>
      </c>
      <c r="L283" s="24">
        <f>Tabell2[[#This Row],[NIBR11]]</f>
        <v>4</v>
      </c>
      <c r="M283" s="24">
        <f>IF(Tabell2[[#This Row],[ReisetidOslo]]&lt;=C$434,C$434,IF(Tabell2[[#This Row],[ReisetidOslo]]&gt;=C$435,C$435,Tabell2[[#This Row],[ReisetidOslo]]))</f>
        <v>189.4166666667</v>
      </c>
      <c r="N283" s="24">
        <f>IF(Tabell2[[#This Row],[Beftettland]]&lt;=D$434,D$434,IF(Tabell2[[#This Row],[Beftettland]]&gt;=D$435,D$435,Tabell2[[#This Row],[Beftettland]]))</f>
        <v>22.238790073490254</v>
      </c>
      <c r="O283" s="24">
        <f>IF(Tabell2[[#This Row],[Beftettotal]]&lt;=E$434,E$434,IF(Tabell2[[#This Row],[Beftettotal]]&gt;=E$435,E$435,Tabell2[[#This Row],[Beftettotal]]))</f>
        <v>22.060221870047542</v>
      </c>
      <c r="P283" s="24">
        <f>IF(Tabell2[[#This Row],[Befvekst10]]&lt;=F$434,F$434,IF(Tabell2[[#This Row],[Befvekst10]]&gt;=F$435,F$435,Tabell2[[#This Row],[Befvekst10]]))</f>
        <v>8.5803432137285585E-2</v>
      </c>
      <c r="Q283" s="24">
        <f>IF(Tabell2[[#This Row],[Kvinneandel]]&lt;=G$434,G$434,IF(Tabell2[[#This Row],[Kvinneandel]]&gt;=G$435,G$435,Tabell2[[#This Row],[Kvinneandel]]))</f>
        <v>0.10057471264367816</v>
      </c>
      <c r="R283" s="24">
        <f>IF(Tabell2[[#This Row],[Eldreandel]]&lt;=H$434,H$434,IF(Tabell2[[#This Row],[Eldreandel]]&gt;=H$435,H$435,Tabell2[[#This Row],[Eldreandel]]))</f>
        <v>0.18678160919540229</v>
      </c>
      <c r="S283" s="24">
        <f>IF(Tabell2[[#This Row],[Sysselsettingsvekst10]]&lt;=I$434,I$434,IF(Tabell2[[#This Row],[Sysselsettingsvekst10]]&gt;=I$435,I$435,Tabell2[[#This Row],[Sysselsettingsvekst10]]))</f>
        <v>0.13254593175853024</v>
      </c>
      <c r="T283" s="24">
        <f>IF(Tabell2[[#This Row],[Yrkesaktivandel]]&lt;=J$434,J$434,IF(Tabell2[[#This Row],[Yrkesaktivandel]]&gt;=J$435,J$435,Tabell2[[#This Row],[Yrkesaktivandel]]))</f>
        <v>0.91651205936920221</v>
      </c>
      <c r="U283" s="24">
        <f>IF(Tabell2[[#This Row],[Inntekt]]&lt;=K$434,K$434,IF(Tabell2[[#This Row],[Inntekt]]&gt;=K$435,K$435,Tabell2[[#This Row],[Inntekt]]))</f>
        <v>399000</v>
      </c>
      <c r="V283" s="7">
        <f>IF(Tabell2[[#This Row],[NIBR11-T]]&lt;=L$437,100,IF(Tabell2[[#This Row],[NIBR11-T]]&gt;=L$436,0,100*(L$436-Tabell2[[#This Row],[NIBR11-T]])/L$439))</f>
        <v>70</v>
      </c>
      <c r="W283" s="7">
        <f>(M$436-Tabell2[[#This Row],[ReisetidOslo-T]])*100/M$439</f>
        <v>39.944424131618582</v>
      </c>
      <c r="X283" s="7">
        <f>100-(N$436-Tabell2[[#This Row],[Beftettland-T]])*100/N$439</f>
        <v>15.412650431266343</v>
      </c>
      <c r="Y283" s="7">
        <f>100-(O$436-Tabell2[[#This Row],[Beftettotal-T]])*100/O$439</f>
        <v>15.876848118254287</v>
      </c>
      <c r="Z283" s="7">
        <f>100-(P$436-Tabell2[[#This Row],[Befvekst10-T]])*100/P$439</f>
        <v>63.493366473269681</v>
      </c>
      <c r="AA283" s="7">
        <f>100-(Q$436-Tabell2[[#This Row],[Kvinneandel-T]])*100/Q$439</f>
        <v>29.036539987738792</v>
      </c>
      <c r="AB283" s="7">
        <f>(R$436-Tabell2[[#This Row],[Eldreandel-T]])*100/R$439</f>
        <v>36.20614107964979</v>
      </c>
      <c r="AC283" s="7">
        <f>100-(S$436-Tabell2[[#This Row],[Sysselsettingsvekst10-T]])*100/S$439</f>
        <v>73.466944910114805</v>
      </c>
      <c r="AD283" s="7">
        <f>100-(T$436-Tabell2[[#This Row],[Yrkesaktivandel-T]])*100/T$439</f>
        <v>82.962155930263791</v>
      </c>
      <c r="AE283" s="7">
        <f>100-(U$436-Tabell2[[#This Row],[Inntekt-T]])*100/U$439</f>
        <v>61.607042094571717</v>
      </c>
      <c r="AF283" s="7">
        <v>14</v>
      </c>
      <c r="AG283" s="7">
        <v>3.9944424131618583</v>
      </c>
      <c r="AH283" s="7">
        <v>1.5876848118254288</v>
      </c>
      <c r="AI283" s="7">
        <v>12.698673294653936</v>
      </c>
      <c r="AJ283" s="7">
        <v>1.4518269993869397</v>
      </c>
      <c r="AK283" s="7">
        <v>1.8103070539824895</v>
      </c>
      <c r="AL283" s="7">
        <v>7.3466944910114806</v>
      </c>
      <c r="AM283" s="7">
        <v>8.2962155930263801</v>
      </c>
      <c r="AN283" s="7">
        <v>6.1607042094571725</v>
      </c>
      <c r="AO28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57.346548866505692</v>
      </c>
    </row>
    <row r="284" spans="1:41" x14ac:dyDescent="0.3">
      <c r="A284" s="2" t="s">
        <v>281</v>
      </c>
      <c r="B284">
        <f>'Rådata-K'!N283</f>
        <v>11</v>
      </c>
      <c r="C284" s="7">
        <f>'Rådata-K'!M283</f>
        <v>253.216666667</v>
      </c>
      <c r="D284" s="24">
        <f>'Rådata-K'!O283</f>
        <v>59.456928838951313</v>
      </c>
      <c r="E284" s="24">
        <f>'Rådata-K'!P283</f>
        <v>59.262715818945402</v>
      </c>
      <c r="F284" s="24">
        <f>'Rådata-K'!Q283</f>
        <v>0</v>
      </c>
      <c r="G284" s="24">
        <f>'Rådata-K'!R283</f>
        <v>8.7401574803149612E-2</v>
      </c>
      <c r="H284" s="24">
        <f>'Rådata-K'!S283</f>
        <v>0.19133858267716536</v>
      </c>
      <c r="I284" s="24">
        <f>'Rådata-K'!T283</f>
        <v>5.7565789473684292E-2</v>
      </c>
      <c r="J284" s="24">
        <f>'Rådata-K'!U283</f>
        <v>0.93731778425655976</v>
      </c>
      <c r="K284" s="24">
        <f>'Rådata-K'!L283</f>
        <v>457200</v>
      </c>
      <c r="L284" s="24">
        <f>Tabell2[[#This Row],[NIBR11]]</f>
        <v>11</v>
      </c>
      <c r="M284" s="24">
        <f>IF(Tabell2[[#This Row],[ReisetidOslo]]&lt;=C$434,C$434,IF(Tabell2[[#This Row],[ReisetidOslo]]&gt;=C$435,C$435,Tabell2[[#This Row],[ReisetidOslo]]))</f>
        <v>253.216666667</v>
      </c>
      <c r="N284" s="24">
        <f>IF(Tabell2[[#This Row],[Beftettland]]&lt;=D$434,D$434,IF(Tabell2[[#This Row],[Beftettland]]&gt;=D$435,D$435,Tabell2[[#This Row],[Beftettland]]))</f>
        <v>59.456928838951313</v>
      </c>
      <c r="O284" s="24">
        <f>IF(Tabell2[[#This Row],[Beftettotal]]&lt;=E$434,E$434,IF(Tabell2[[#This Row],[Beftettotal]]&gt;=E$435,E$435,Tabell2[[#This Row],[Beftettotal]]))</f>
        <v>59.262715818945402</v>
      </c>
      <c r="P284" s="24">
        <f>IF(Tabell2[[#This Row],[Befvekst10]]&lt;=F$434,F$434,IF(Tabell2[[#This Row],[Befvekst10]]&gt;=F$435,F$435,Tabell2[[#This Row],[Befvekst10]]))</f>
        <v>0</v>
      </c>
      <c r="Q284" s="24">
        <f>IF(Tabell2[[#This Row],[Kvinneandel]]&lt;=G$434,G$434,IF(Tabell2[[#This Row],[Kvinneandel]]&gt;=G$435,G$435,Tabell2[[#This Row],[Kvinneandel]]))</f>
        <v>8.9521819157910881E-2</v>
      </c>
      <c r="R284" s="24">
        <f>IF(Tabell2[[#This Row],[Eldreandel]]&lt;=H$434,H$434,IF(Tabell2[[#This Row],[Eldreandel]]&gt;=H$435,H$435,Tabell2[[#This Row],[Eldreandel]]))</f>
        <v>0.19133858267716536</v>
      </c>
      <c r="S284" s="24">
        <f>IF(Tabell2[[#This Row],[Sysselsettingsvekst10]]&lt;=I$434,I$434,IF(Tabell2[[#This Row],[Sysselsettingsvekst10]]&gt;=I$435,I$435,Tabell2[[#This Row],[Sysselsettingsvekst10]]))</f>
        <v>5.7565789473684292E-2</v>
      </c>
      <c r="T284" s="24">
        <f>IF(Tabell2[[#This Row],[Yrkesaktivandel]]&lt;=J$434,J$434,IF(Tabell2[[#This Row],[Yrkesaktivandel]]&gt;=J$435,J$435,Tabell2[[#This Row],[Yrkesaktivandel]]))</f>
        <v>0.93731778425655976</v>
      </c>
      <c r="U284" s="24">
        <f>IF(Tabell2[[#This Row],[Inntekt]]&lt;=K$434,K$434,IF(Tabell2[[#This Row],[Inntekt]]&gt;=K$435,K$435,Tabell2[[#This Row],[Inntekt]]))</f>
        <v>433020</v>
      </c>
      <c r="V284" s="7">
        <f>IF(Tabell2[[#This Row],[NIBR11-T]]&lt;=L$437,100,IF(Tabell2[[#This Row],[NIBR11-T]]&gt;=L$436,0,100*(L$436-Tabell2[[#This Row],[NIBR11-T]])/L$439))</f>
        <v>0</v>
      </c>
      <c r="W284" s="7">
        <f>(M$436-Tabell2[[#This Row],[ReisetidOslo-T]])*100/M$439</f>
        <v>11.95173674574942</v>
      </c>
      <c r="X284" s="7">
        <f>100-(N$436-Tabell2[[#This Row],[Beftettland-T]])*100/N$439</f>
        <v>42.943047017657079</v>
      </c>
      <c r="Y284" s="7">
        <f>100-(O$436-Tabell2[[#This Row],[Beftettotal-T]])*100/O$439</f>
        <v>44.353071718158773</v>
      </c>
      <c r="Z284" s="7">
        <f>100-(P$436-Tabell2[[#This Row],[Befvekst10-T]])*100/P$439</f>
        <v>28.763479039363006</v>
      </c>
      <c r="AA284" s="7">
        <f>100-(Q$436-Tabell2[[#This Row],[Kvinneandel-T]])*100/Q$439</f>
        <v>0</v>
      </c>
      <c r="AB284" s="7">
        <f>(R$436-Tabell2[[#This Row],[Eldreandel-T]])*100/R$439</f>
        <v>31.288005421731551</v>
      </c>
      <c r="AC284" s="7">
        <f>100-(S$436-Tabell2[[#This Row],[Sysselsettingsvekst10-T]])*100/S$439</f>
        <v>48.997077938252886</v>
      </c>
      <c r="AD284" s="7">
        <f>100-(T$436-Tabell2[[#This Row],[Yrkesaktivandel-T]])*100/T$439</f>
        <v>97.636305164565982</v>
      </c>
      <c r="AE284" s="7">
        <f>100-(U$436-Tabell2[[#This Row],[Inntekt-T]])*100/U$439</f>
        <v>100</v>
      </c>
      <c r="AF284" s="7">
        <v>0</v>
      </c>
      <c r="AG284" s="7">
        <v>1.1951736745749419</v>
      </c>
      <c r="AH284" s="7">
        <v>4.4353071718158779</v>
      </c>
      <c r="AI284" s="7">
        <v>5.7526958078726018</v>
      </c>
      <c r="AJ284" s="7">
        <v>0</v>
      </c>
      <c r="AK284" s="7">
        <v>1.5644002710865776</v>
      </c>
      <c r="AL284" s="7">
        <v>4.8997077938252893</v>
      </c>
      <c r="AM284" s="7">
        <v>9.7636305164565993</v>
      </c>
      <c r="AN284" s="7">
        <v>10</v>
      </c>
      <c r="AO28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37.610915235631893</v>
      </c>
    </row>
    <row r="285" spans="1:41" x14ac:dyDescent="0.3">
      <c r="A285" s="2" t="s">
        <v>282</v>
      </c>
      <c r="B285">
        <f>'Rådata-K'!N284</f>
        <v>4</v>
      </c>
      <c r="C285" s="7">
        <f>'Rådata-K'!M284</f>
        <v>186.35</v>
      </c>
      <c r="D285" s="24">
        <f>'Rådata-K'!O284</f>
        <v>59.637226648584502</v>
      </c>
      <c r="E285" s="24">
        <f>'Rådata-K'!P284</f>
        <v>59.546377792823286</v>
      </c>
      <c r="F285" s="24">
        <f>'Rådata-K'!Q284</f>
        <v>0.13520490480800262</v>
      </c>
      <c r="G285" s="24">
        <f>'Rådata-K'!R284</f>
        <v>0.11853325753268903</v>
      </c>
      <c r="H285" s="24">
        <f>'Rådata-K'!S284</f>
        <v>0.1671404206935759</v>
      </c>
      <c r="I285" s="24">
        <f>'Rådata-K'!T284</f>
        <v>0.31516802906448693</v>
      </c>
      <c r="J285" s="24">
        <f>'Rådata-K'!U284</f>
        <v>0.88824763903462745</v>
      </c>
      <c r="K285" s="24">
        <f>'Rådata-K'!L284</f>
        <v>422100</v>
      </c>
      <c r="L285" s="24">
        <f>Tabell2[[#This Row],[NIBR11]]</f>
        <v>4</v>
      </c>
      <c r="M285" s="24">
        <f>IF(Tabell2[[#This Row],[ReisetidOslo]]&lt;=C$434,C$434,IF(Tabell2[[#This Row],[ReisetidOslo]]&gt;=C$435,C$435,Tabell2[[#This Row],[ReisetidOslo]]))</f>
        <v>186.35</v>
      </c>
      <c r="N285" s="24">
        <f>IF(Tabell2[[#This Row],[Beftettland]]&lt;=D$434,D$434,IF(Tabell2[[#This Row],[Beftettland]]&gt;=D$435,D$435,Tabell2[[#This Row],[Beftettland]]))</f>
        <v>59.637226648584502</v>
      </c>
      <c r="O285" s="24">
        <f>IF(Tabell2[[#This Row],[Beftettotal]]&lt;=E$434,E$434,IF(Tabell2[[#This Row],[Beftettotal]]&gt;=E$435,E$435,Tabell2[[#This Row],[Beftettotal]]))</f>
        <v>59.546377792823286</v>
      </c>
      <c r="P285" s="24">
        <f>IF(Tabell2[[#This Row],[Befvekst10]]&lt;=F$434,F$434,IF(Tabell2[[#This Row],[Befvekst10]]&gt;=F$435,F$435,Tabell2[[#This Row],[Befvekst10]]))</f>
        <v>0.13520490480800262</v>
      </c>
      <c r="Q285" s="24">
        <f>IF(Tabell2[[#This Row],[Kvinneandel]]&lt;=G$434,G$434,IF(Tabell2[[#This Row],[Kvinneandel]]&gt;=G$435,G$435,Tabell2[[#This Row],[Kvinneandel]]))</f>
        <v>0.11853325753268903</v>
      </c>
      <c r="R285" s="24">
        <f>IF(Tabell2[[#This Row],[Eldreandel]]&lt;=H$434,H$434,IF(Tabell2[[#This Row],[Eldreandel]]&gt;=H$435,H$435,Tabell2[[#This Row],[Eldreandel]]))</f>
        <v>0.1671404206935759</v>
      </c>
      <c r="S285" s="24">
        <f>IF(Tabell2[[#This Row],[Sysselsettingsvekst10]]&lt;=I$434,I$434,IF(Tabell2[[#This Row],[Sysselsettingsvekst10]]&gt;=I$435,I$435,Tabell2[[#This Row],[Sysselsettingsvekst10]]))</f>
        <v>0.21384805931725109</v>
      </c>
      <c r="T285" s="24">
        <f>IF(Tabell2[[#This Row],[Yrkesaktivandel]]&lt;=J$434,J$434,IF(Tabell2[[#This Row],[Yrkesaktivandel]]&gt;=J$435,J$435,Tabell2[[#This Row],[Yrkesaktivandel]]))</f>
        <v>0.88824763903462745</v>
      </c>
      <c r="U285" s="24">
        <f>IF(Tabell2[[#This Row],[Inntekt]]&lt;=K$434,K$434,IF(Tabell2[[#This Row],[Inntekt]]&gt;=K$435,K$435,Tabell2[[#This Row],[Inntekt]]))</f>
        <v>422100</v>
      </c>
      <c r="V285" s="7">
        <f>IF(Tabell2[[#This Row],[NIBR11-T]]&lt;=L$437,100,IF(Tabell2[[#This Row],[NIBR11-T]]&gt;=L$436,0,100*(L$436-Tabell2[[#This Row],[NIBR11-T]])/L$439))</f>
        <v>70</v>
      </c>
      <c r="W285" s="7">
        <f>(M$436-Tabell2[[#This Row],[ReisetidOslo-T]])*100/M$439</f>
        <v>41.289945155399067</v>
      </c>
      <c r="X285" s="7">
        <f>100-(N$436-Tabell2[[#This Row],[Beftettland-T]])*100/N$439</f>
        <v>43.076413982462569</v>
      </c>
      <c r="Y285" s="7">
        <f>100-(O$436-Tabell2[[#This Row],[Beftettotal-T]])*100/O$439</f>
        <v>44.570197532520375</v>
      </c>
      <c r="Z285" s="7">
        <f>100-(P$436-Tabell2[[#This Row],[Befvekst10-T]])*100/P$439</f>
        <v>83.489158508465721</v>
      </c>
      <c r="AA285" s="7">
        <f>100-(Q$436-Tabell2[[#This Row],[Kvinneandel-T]])*100/Q$439</f>
        <v>76.214594083966034</v>
      </c>
      <c r="AB285" s="7">
        <f>(R$436-Tabell2[[#This Row],[Eldreandel-T]])*100/R$439</f>
        <v>57.403988712801429</v>
      </c>
      <c r="AC285" s="7">
        <f>100-(S$436-Tabell2[[#This Row],[Sysselsettingsvekst10-T]])*100/S$439</f>
        <v>100</v>
      </c>
      <c r="AD285" s="7">
        <f>100-(T$436-Tabell2[[#This Row],[Yrkesaktivandel-T]])*100/T$439</f>
        <v>63.027434873627136</v>
      </c>
      <c r="AE285" s="7">
        <f>100-(U$436-Tabell2[[#This Row],[Inntekt-T]])*100/U$439</f>
        <v>87.676334499492157</v>
      </c>
      <c r="AF285" s="7">
        <v>14</v>
      </c>
      <c r="AG285" s="7">
        <v>4.1289945155399073</v>
      </c>
      <c r="AH285" s="7">
        <v>4.4570197532520375</v>
      </c>
      <c r="AI285" s="7">
        <v>16.697831701693143</v>
      </c>
      <c r="AJ285" s="7">
        <v>3.8107297041983017</v>
      </c>
      <c r="AK285" s="7">
        <v>2.8701994356400715</v>
      </c>
      <c r="AL285" s="7">
        <v>10</v>
      </c>
      <c r="AM285" s="7">
        <v>6.3027434873627142</v>
      </c>
      <c r="AN285" s="7">
        <v>8.7676334499492157</v>
      </c>
      <c r="AO28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71.035152047635393</v>
      </c>
    </row>
    <row r="286" spans="1:41" x14ac:dyDescent="0.3">
      <c r="A286" s="2" t="s">
        <v>283</v>
      </c>
      <c r="B286">
        <f>'Rådata-K'!N285</f>
        <v>4</v>
      </c>
      <c r="C286" s="7">
        <f>'Rådata-K'!M285</f>
        <v>166.01666666670002</v>
      </c>
      <c r="D286" s="24">
        <f>'Rådata-K'!O285</f>
        <v>26.847732987041692</v>
      </c>
      <c r="E286" s="24">
        <f>'Rådata-K'!P285</f>
        <v>26.282051282051281</v>
      </c>
      <c r="F286" s="24">
        <f>'Rådata-K'!Q285</f>
        <v>6.9212147887323994E-2</v>
      </c>
      <c r="G286" s="24">
        <f>'Rådata-K'!R285</f>
        <v>0.11783472265102397</v>
      </c>
      <c r="H286" s="24">
        <f>'Rådata-K'!S285</f>
        <v>0.14922301121745396</v>
      </c>
      <c r="I286" s="24">
        <f>'Rådata-K'!T285</f>
        <v>2.7075275215709516E-2</v>
      </c>
      <c r="J286" s="24">
        <f>'Rådata-K'!U285</f>
        <v>0.89590075512405609</v>
      </c>
      <c r="K286" s="24">
        <f>'Rådata-K'!L285</f>
        <v>400300</v>
      </c>
      <c r="L286" s="24">
        <f>Tabell2[[#This Row],[NIBR11]]</f>
        <v>4</v>
      </c>
      <c r="M286" s="24">
        <f>IF(Tabell2[[#This Row],[ReisetidOslo]]&lt;=C$434,C$434,IF(Tabell2[[#This Row],[ReisetidOslo]]&gt;=C$435,C$435,Tabell2[[#This Row],[ReisetidOslo]]))</f>
        <v>166.01666666670002</v>
      </c>
      <c r="N286" s="24">
        <f>IF(Tabell2[[#This Row],[Beftettland]]&lt;=D$434,D$434,IF(Tabell2[[#This Row],[Beftettland]]&gt;=D$435,D$435,Tabell2[[#This Row],[Beftettland]]))</f>
        <v>26.847732987041692</v>
      </c>
      <c r="O286" s="24">
        <f>IF(Tabell2[[#This Row],[Beftettotal]]&lt;=E$434,E$434,IF(Tabell2[[#This Row],[Beftettotal]]&gt;=E$435,E$435,Tabell2[[#This Row],[Beftettotal]]))</f>
        <v>26.282051282051281</v>
      </c>
      <c r="P286" s="24">
        <f>IF(Tabell2[[#This Row],[Befvekst10]]&lt;=F$434,F$434,IF(Tabell2[[#This Row],[Befvekst10]]&gt;=F$435,F$435,Tabell2[[#This Row],[Befvekst10]]))</f>
        <v>6.9212147887323994E-2</v>
      </c>
      <c r="Q286" s="24">
        <f>IF(Tabell2[[#This Row],[Kvinneandel]]&lt;=G$434,G$434,IF(Tabell2[[#This Row],[Kvinneandel]]&gt;=G$435,G$435,Tabell2[[#This Row],[Kvinneandel]]))</f>
        <v>0.11783472265102397</v>
      </c>
      <c r="R286" s="24">
        <f>IF(Tabell2[[#This Row],[Eldreandel]]&lt;=H$434,H$434,IF(Tabell2[[#This Row],[Eldreandel]]&gt;=H$435,H$435,Tabell2[[#This Row],[Eldreandel]]))</f>
        <v>0.14922301121745396</v>
      </c>
      <c r="S286" s="24">
        <f>IF(Tabell2[[#This Row],[Sysselsettingsvekst10]]&lt;=I$434,I$434,IF(Tabell2[[#This Row],[Sysselsettingsvekst10]]&gt;=I$435,I$435,Tabell2[[#This Row],[Sysselsettingsvekst10]]))</f>
        <v>2.7075275215709516E-2</v>
      </c>
      <c r="T286" s="24">
        <f>IF(Tabell2[[#This Row],[Yrkesaktivandel]]&lt;=J$434,J$434,IF(Tabell2[[#This Row],[Yrkesaktivandel]]&gt;=J$435,J$435,Tabell2[[#This Row],[Yrkesaktivandel]]))</f>
        <v>0.89590075512405609</v>
      </c>
      <c r="U286" s="24">
        <f>IF(Tabell2[[#This Row],[Inntekt]]&lt;=K$434,K$434,IF(Tabell2[[#This Row],[Inntekt]]&gt;=K$435,K$435,Tabell2[[#This Row],[Inntekt]]))</f>
        <v>400300</v>
      </c>
      <c r="V286" s="7">
        <f>IF(Tabell2[[#This Row],[NIBR11-T]]&lt;=L$437,100,IF(Tabell2[[#This Row],[NIBR11-T]]&gt;=L$436,0,100*(L$436-Tabell2[[#This Row],[NIBR11-T]])/L$439))</f>
        <v>70</v>
      </c>
      <c r="W286" s="7">
        <f>(M$436-Tabell2[[#This Row],[ReisetidOslo-T]])*100/M$439</f>
        <v>50.211334552092843</v>
      </c>
      <c r="X286" s="7">
        <f>100-(N$436-Tabell2[[#This Row],[Beftettland-T]])*100/N$439</f>
        <v>18.821902759914735</v>
      </c>
      <c r="Y286" s="7">
        <f>100-(O$436-Tabell2[[#This Row],[Beftettotal-T]])*100/O$439</f>
        <v>19.108399167009551</v>
      </c>
      <c r="Z286" s="7">
        <f>100-(P$436-Tabell2[[#This Row],[Befvekst10-T]])*100/P$439</f>
        <v>56.777860810708624</v>
      </c>
      <c r="AA286" s="7">
        <f>100-(Q$436-Tabell2[[#This Row],[Kvinneandel-T]])*100/Q$439</f>
        <v>74.379505738057674</v>
      </c>
      <c r="AB286" s="7">
        <f>(R$436-Tabell2[[#This Row],[Eldreandel-T]])*100/R$439</f>
        <v>76.741439499972614</v>
      </c>
      <c r="AC286" s="7">
        <f>100-(S$436-Tabell2[[#This Row],[Sysselsettingsvekst10-T]])*100/S$439</f>
        <v>39.046458946868363</v>
      </c>
      <c r="AD286" s="7">
        <f>100-(T$436-Tabell2[[#This Row],[Yrkesaktivandel-T]])*100/T$439</f>
        <v>68.42513037386685</v>
      </c>
      <c r="AE286" s="7">
        <f>100-(U$436-Tabell2[[#This Row],[Inntekt-T]])*100/U$439</f>
        <v>63.074145130346459</v>
      </c>
      <c r="AF286" s="7">
        <v>14</v>
      </c>
      <c r="AG286" s="7">
        <v>5.0211334552092843</v>
      </c>
      <c r="AH286" s="7">
        <v>1.9108399167009553</v>
      </c>
      <c r="AI286" s="7">
        <v>11.355572162141726</v>
      </c>
      <c r="AJ286" s="7">
        <v>3.718975286902884</v>
      </c>
      <c r="AK286" s="7">
        <v>3.8370719749986311</v>
      </c>
      <c r="AL286" s="7">
        <v>3.9046458946868365</v>
      </c>
      <c r="AM286" s="7">
        <v>6.8425130373866851</v>
      </c>
      <c r="AN286" s="7">
        <v>6.3074145130346464</v>
      </c>
      <c r="AO28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56.898166241061645</v>
      </c>
    </row>
    <row r="287" spans="1:41" x14ac:dyDescent="0.3">
      <c r="A287" s="2" t="s">
        <v>284</v>
      </c>
      <c r="B287">
        <f>'Rådata-K'!N286</f>
        <v>4</v>
      </c>
      <c r="C287" s="7">
        <f>'Rådata-K'!M286</f>
        <v>172.4333333333</v>
      </c>
      <c r="D287" s="24">
        <f>'Rådata-K'!O286</f>
        <v>23.797103438808428</v>
      </c>
      <c r="E287" s="24">
        <f>'Rådata-K'!P286</f>
        <v>22.795713064632782</v>
      </c>
      <c r="F287" s="24">
        <f>'Rådata-K'!Q286</f>
        <v>3.7402752842609299E-2</v>
      </c>
      <c r="G287" s="24">
        <f>'Rådata-K'!R286</f>
        <v>0.11306605134121719</v>
      </c>
      <c r="H287" s="24">
        <f>'Rådata-K'!S286</f>
        <v>0.14940871070089415</v>
      </c>
      <c r="I287" s="24">
        <f>'Rådata-K'!T286</f>
        <v>-0.12159174649963156</v>
      </c>
      <c r="J287" s="24">
        <f>'Rådata-K'!U286</f>
        <v>0.90345895715023228</v>
      </c>
      <c r="K287" s="24">
        <f>'Rådata-K'!L286</f>
        <v>398100</v>
      </c>
      <c r="L287" s="24">
        <f>Tabell2[[#This Row],[NIBR11]]</f>
        <v>4</v>
      </c>
      <c r="M287" s="24">
        <f>IF(Tabell2[[#This Row],[ReisetidOslo]]&lt;=C$434,C$434,IF(Tabell2[[#This Row],[ReisetidOslo]]&gt;=C$435,C$435,Tabell2[[#This Row],[ReisetidOslo]]))</f>
        <v>172.4333333333</v>
      </c>
      <c r="N287" s="24">
        <f>IF(Tabell2[[#This Row],[Beftettland]]&lt;=D$434,D$434,IF(Tabell2[[#This Row],[Beftettland]]&gt;=D$435,D$435,Tabell2[[#This Row],[Beftettland]]))</f>
        <v>23.797103438808428</v>
      </c>
      <c r="O287" s="24">
        <f>IF(Tabell2[[#This Row],[Beftettotal]]&lt;=E$434,E$434,IF(Tabell2[[#This Row],[Beftettotal]]&gt;=E$435,E$435,Tabell2[[#This Row],[Beftettotal]]))</f>
        <v>22.795713064632782</v>
      </c>
      <c r="P287" s="24">
        <f>IF(Tabell2[[#This Row],[Befvekst10]]&lt;=F$434,F$434,IF(Tabell2[[#This Row],[Befvekst10]]&gt;=F$435,F$435,Tabell2[[#This Row],[Befvekst10]]))</f>
        <v>3.7402752842609299E-2</v>
      </c>
      <c r="Q287" s="24">
        <f>IF(Tabell2[[#This Row],[Kvinneandel]]&lt;=G$434,G$434,IF(Tabell2[[#This Row],[Kvinneandel]]&gt;=G$435,G$435,Tabell2[[#This Row],[Kvinneandel]]))</f>
        <v>0.11306605134121719</v>
      </c>
      <c r="R287" s="24">
        <f>IF(Tabell2[[#This Row],[Eldreandel]]&lt;=H$434,H$434,IF(Tabell2[[#This Row],[Eldreandel]]&gt;=H$435,H$435,Tabell2[[#This Row],[Eldreandel]]))</f>
        <v>0.14940871070089415</v>
      </c>
      <c r="S287" s="24">
        <f>IF(Tabell2[[#This Row],[Sysselsettingsvekst10]]&lt;=I$434,I$434,IF(Tabell2[[#This Row],[Sysselsettingsvekst10]]&gt;=I$435,I$435,Tabell2[[#This Row],[Sysselsettingsvekst10]]))</f>
        <v>-9.2570207570207563E-2</v>
      </c>
      <c r="T287" s="24">
        <f>IF(Tabell2[[#This Row],[Yrkesaktivandel]]&lt;=J$434,J$434,IF(Tabell2[[#This Row],[Yrkesaktivandel]]&gt;=J$435,J$435,Tabell2[[#This Row],[Yrkesaktivandel]]))</f>
        <v>0.90345895715023228</v>
      </c>
      <c r="U287" s="24">
        <f>IF(Tabell2[[#This Row],[Inntekt]]&lt;=K$434,K$434,IF(Tabell2[[#This Row],[Inntekt]]&gt;=K$435,K$435,Tabell2[[#This Row],[Inntekt]]))</f>
        <v>398100</v>
      </c>
      <c r="V287" s="7">
        <f>IF(Tabell2[[#This Row],[NIBR11-T]]&lt;=L$437,100,IF(Tabell2[[#This Row],[NIBR11-T]]&gt;=L$436,0,100*(L$436-Tabell2[[#This Row],[NIBR11-T]])/L$439))</f>
        <v>70</v>
      </c>
      <c r="W287" s="7">
        <f>(M$436-Tabell2[[#This Row],[ReisetidOslo-T]])*100/M$439</f>
        <v>47.395978062177235</v>
      </c>
      <c r="X287" s="7">
        <f>100-(N$436-Tabell2[[#This Row],[Beftettland-T]])*100/N$439</f>
        <v>16.565340661786294</v>
      </c>
      <c r="Y287" s="7">
        <f>100-(O$436-Tabell2[[#This Row],[Beftettotal-T]])*100/O$439</f>
        <v>16.439821443148574</v>
      </c>
      <c r="Z287" s="7">
        <f>100-(P$436-Tabell2[[#This Row],[Befvekst10-T]])*100/P$439</f>
        <v>43.902656617524016</v>
      </c>
      <c r="AA287" s="7">
        <f>100-(Q$436-Tabell2[[#This Row],[Kvinneandel-T]])*100/Q$439</f>
        <v>61.85195217446924</v>
      </c>
      <c r="AB287" s="7">
        <f>(R$436-Tabell2[[#This Row],[Eldreandel-T]])*100/R$439</f>
        <v>76.541022434826374</v>
      </c>
      <c r="AC287" s="7">
        <f>100-(S$436-Tabell2[[#This Row],[Sysselsettingsvekst10-T]])*100/S$439</f>
        <v>0</v>
      </c>
      <c r="AD287" s="7">
        <f>100-(T$436-Tabell2[[#This Row],[Yrkesaktivandel-T]])*100/T$439</f>
        <v>73.755883571632552</v>
      </c>
      <c r="AE287" s="7">
        <f>100-(U$436-Tabell2[[#This Row],[Inntekt-T]])*100/U$439</f>
        <v>60.591355377496896</v>
      </c>
      <c r="AF287" s="7">
        <v>14</v>
      </c>
      <c r="AG287" s="7">
        <v>4.7395978062177235</v>
      </c>
      <c r="AH287" s="7">
        <v>1.6439821443148575</v>
      </c>
      <c r="AI287" s="7">
        <v>8.7805313235048033</v>
      </c>
      <c r="AJ287" s="7">
        <v>3.0925976087234623</v>
      </c>
      <c r="AK287" s="7">
        <v>3.8270511217413188</v>
      </c>
      <c r="AL287" s="7">
        <v>0</v>
      </c>
      <c r="AM287" s="7">
        <v>7.3755883571632559</v>
      </c>
      <c r="AN287" s="7">
        <v>6.0591355377496896</v>
      </c>
      <c r="AO28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49.518483899415109</v>
      </c>
    </row>
    <row r="288" spans="1:41" x14ac:dyDescent="0.3">
      <c r="A288" s="2" t="s">
        <v>285</v>
      </c>
      <c r="B288">
        <f>'Rådata-K'!N287</f>
        <v>5</v>
      </c>
      <c r="C288" s="7">
        <f>'Rådata-K'!M287</f>
        <v>173.5</v>
      </c>
      <c r="D288" s="24">
        <f>'Rådata-K'!O287</f>
        <v>33.707475121499655</v>
      </c>
      <c r="E288" s="24">
        <f>'Rådata-K'!P287</f>
        <v>33.238247375627566</v>
      </c>
      <c r="F288" s="24">
        <f>'Rådata-K'!Q287</f>
        <v>8.6940298507462765E-2</v>
      </c>
      <c r="G288" s="24">
        <f>'Rådata-K'!R287</f>
        <v>0.11002403020940611</v>
      </c>
      <c r="H288" s="24">
        <f>'Rådata-K'!S287</f>
        <v>0.16237555784414692</v>
      </c>
      <c r="I288" s="24">
        <f>'Rådata-K'!T287</f>
        <v>7.2825024437927599E-2</v>
      </c>
      <c r="J288" s="24">
        <f>'Rådata-K'!U287</f>
        <v>0.87204366282595513</v>
      </c>
      <c r="K288" s="24">
        <f>'Rådata-K'!L287</f>
        <v>415400</v>
      </c>
      <c r="L288" s="24">
        <f>Tabell2[[#This Row],[NIBR11]]</f>
        <v>5</v>
      </c>
      <c r="M288" s="24">
        <f>IF(Tabell2[[#This Row],[ReisetidOslo]]&lt;=C$434,C$434,IF(Tabell2[[#This Row],[ReisetidOslo]]&gt;=C$435,C$435,Tabell2[[#This Row],[ReisetidOslo]]))</f>
        <v>173.5</v>
      </c>
      <c r="N288" s="24">
        <f>IF(Tabell2[[#This Row],[Beftettland]]&lt;=D$434,D$434,IF(Tabell2[[#This Row],[Beftettland]]&gt;=D$435,D$435,Tabell2[[#This Row],[Beftettland]]))</f>
        <v>33.707475121499655</v>
      </c>
      <c r="O288" s="24">
        <f>IF(Tabell2[[#This Row],[Beftettotal]]&lt;=E$434,E$434,IF(Tabell2[[#This Row],[Beftettotal]]&gt;=E$435,E$435,Tabell2[[#This Row],[Beftettotal]]))</f>
        <v>33.238247375627566</v>
      </c>
      <c r="P288" s="24">
        <f>IF(Tabell2[[#This Row],[Befvekst10]]&lt;=F$434,F$434,IF(Tabell2[[#This Row],[Befvekst10]]&gt;=F$435,F$435,Tabell2[[#This Row],[Befvekst10]]))</f>
        <v>8.6940298507462765E-2</v>
      </c>
      <c r="Q288" s="24">
        <f>IF(Tabell2[[#This Row],[Kvinneandel]]&lt;=G$434,G$434,IF(Tabell2[[#This Row],[Kvinneandel]]&gt;=G$435,G$435,Tabell2[[#This Row],[Kvinneandel]]))</f>
        <v>0.11002403020940611</v>
      </c>
      <c r="R288" s="24">
        <f>IF(Tabell2[[#This Row],[Eldreandel]]&lt;=H$434,H$434,IF(Tabell2[[#This Row],[Eldreandel]]&gt;=H$435,H$435,Tabell2[[#This Row],[Eldreandel]]))</f>
        <v>0.16237555784414692</v>
      </c>
      <c r="S288" s="24">
        <f>IF(Tabell2[[#This Row],[Sysselsettingsvekst10]]&lt;=I$434,I$434,IF(Tabell2[[#This Row],[Sysselsettingsvekst10]]&gt;=I$435,I$435,Tabell2[[#This Row],[Sysselsettingsvekst10]]))</f>
        <v>7.2825024437927599E-2</v>
      </c>
      <c r="T288" s="24">
        <f>IF(Tabell2[[#This Row],[Yrkesaktivandel]]&lt;=J$434,J$434,IF(Tabell2[[#This Row],[Yrkesaktivandel]]&gt;=J$435,J$435,Tabell2[[#This Row],[Yrkesaktivandel]]))</f>
        <v>0.87204366282595513</v>
      </c>
      <c r="U288" s="24">
        <f>IF(Tabell2[[#This Row],[Inntekt]]&lt;=K$434,K$434,IF(Tabell2[[#This Row],[Inntekt]]&gt;=K$435,K$435,Tabell2[[#This Row],[Inntekt]]))</f>
        <v>415400</v>
      </c>
      <c r="V288" s="7">
        <f>IF(Tabell2[[#This Row],[NIBR11-T]]&lt;=L$437,100,IF(Tabell2[[#This Row],[NIBR11-T]]&gt;=L$436,0,100*(L$436-Tabell2[[#This Row],[NIBR11-T]])/L$439))</f>
        <v>60</v>
      </c>
      <c r="W288" s="7">
        <f>(M$436-Tabell2[[#This Row],[ReisetidOslo-T]])*100/M$439</f>
        <v>46.9279707495484</v>
      </c>
      <c r="X288" s="7">
        <f>100-(N$436-Tabell2[[#This Row],[Beftettland-T]])*100/N$439</f>
        <v>23.896079699070498</v>
      </c>
      <c r="Y288" s="7">
        <f>100-(O$436-Tabell2[[#This Row],[Beftettotal-T]])*100/O$439</f>
        <v>24.43293992595855</v>
      </c>
      <c r="Z288" s="7">
        <f>100-(P$436-Tabell2[[#This Row],[Befvekst10-T]])*100/P$439</f>
        <v>63.953525700938741</v>
      </c>
      <c r="AA288" s="7">
        <f>100-(Q$436-Tabell2[[#This Row],[Kvinneandel-T]])*100/Q$439</f>
        <v>53.860400609160081</v>
      </c>
      <c r="AB288" s="7">
        <f>(R$436-Tabell2[[#This Row],[Eldreandel-T]])*100/R$439</f>
        <v>62.546489975679087</v>
      </c>
      <c r="AC288" s="7">
        <f>100-(S$436-Tabell2[[#This Row],[Sysselsettingsvekst10-T]])*100/S$439</f>
        <v>53.976949118663853</v>
      </c>
      <c r="AD288" s="7">
        <f>100-(T$436-Tabell2[[#This Row],[Yrkesaktivandel-T]])*100/T$439</f>
        <v>51.598870554792718</v>
      </c>
      <c r="AE288" s="7">
        <f>100-(U$436-Tabell2[[#This Row],[Inntekt-T]])*100/U$439</f>
        <v>80.115111161268487</v>
      </c>
      <c r="AF288" s="7">
        <v>12</v>
      </c>
      <c r="AG288" s="7">
        <v>4.6927970749548402</v>
      </c>
      <c r="AH288" s="7">
        <v>2.443293992595855</v>
      </c>
      <c r="AI288" s="7">
        <v>12.790705140187749</v>
      </c>
      <c r="AJ288" s="7">
        <v>2.6930200304580043</v>
      </c>
      <c r="AK288" s="7">
        <v>3.1273244987839544</v>
      </c>
      <c r="AL288" s="7">
        <v>5.3976949118663855</v>
      </c>
      <c r="AM288" s="7">
        <v>5.1598870554792722</v>
      </c>
      <c r="AN288" s="7">
        <v>8.0115111161268491</v>
      </c>
      <c r="AO28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56.316233820452908</v>
      </c>
    </row>
    <row r="289" spans="1:41" x14ac:dyDescent="0.3">
      <c r="A289" s="2" t="s">
        <v>286</v>
      </c>
      <c r="B289">
        <f>'Rådata-K'!N288</f>
        <v>4</v>
      </c>
      <c r="C289" s="7">
        <f>'Rådata-K'!M288</f>
        <v>175.98333333329998</v>
      </c>
      <c r="D289" s="24">
        <f>'Rådata-K'!O288</f>
        <v>6.9878998571698068</v>
      </c>
      <c r="E289" s="24">
        <f>'Rådata-K'!P288</f>
        <v>6.7945392133742111</v>
      </c>
      <c r="F289" s="24">
        <f>'Rådata-K'!Q288</f>
        <v>-3.101644245141999E-2</v>
      </c>
      <c r="G289" s="24">
        <f>'Rådata-K'!R288</f>
        <v>9.9884303895102194E-2</v>
      </c>
      <c r="H289" s="24">
        <f>'Rådata-K'!S288</f>
        <v>0.18318549942151949</v>
      </c>
      <c r="I289" s="24">
        <f>'Rådata-K'!T288</f>
        <v>7.2815533980583602E-3</v>
      </c>
      <c r="J289" s="24">
        <f>'Rådata-K'!U288</f>
        <v>0.92051100070972325</v>
      </c>
      <c r="K289" s="24">
        <f>'Rådata-K'!L288</f>
        <v>411200</v>
      </c>
      <c r="L289" s="24">
        <f>Tabell2[[#This Row],[NIBR11]]</f>
        <v>4</v>
      </c>
      <c r="M289" s="24">
        <f>IF(Tabell2[[#This Row],[ReisetidOslo]]&lt;=C$434,C$434,IF(Tabell2[[#This Row],[ReisetidOslo]]&gt;=C$435,C$435,Tabell2[[#This Row],[ReisetidOslo]]))</f>
        <v>175.98333333329998</v>
      </c>
      <c r="N289" s="24">
        <f>IF(Tabell2[[#This Row],[Beftettland]]&lt;=D$434,D$434,IF(Tabell2[[#This Row],[Beftettland]]&gt;=D$435,D$435,Tabell2[[#This Row],[Beftettland]]))</f>
        <v>6.9878998571698068</v>
      </c>
      <c r="O289" s="24">
        <f>IF(Tabell2[[#This Row],[Beftettotal]]&lt;=E$434,E$434,IF(Tabell2[[#This Row],[Beftettotal]]&gt;=E$435,E$435,Tabell2[[#This Row],[Beftettotal]]))</f>
        <v>6.7945392133742111</v>
      </c>
      <c r="P289" s="24">
        <f>IF(Tabell2[[#This Row],[Befvekst10]]&lt;=F$434,F$434,IF(Tabell2[[#This Row],[Befvekst10]]&gt;=F$435,F$435,Tabell2[[#This Row],[Befvekst10]]))</f>
        <v>-3.101644245141999E-2</v>
      </c>
      <c r="Q289" s="24">
        <f>IF(Tabell2[[#This Row],[Kvinneandel]]&lt;=G$434,G$434,IF(Tabell2[[#This Row],[Kvinneandel]]&gt;=G$435,G$435,Tabell2[[#This Row],[Kvinneandel]]))</f>
        <v>9.9884303895102194E-2</v>
      </c>
      <c r="R289" s="24">
        <f>IF(Tabell2[[#This Row],[Eldreandel]]&lt;=H$434,H$434,IF(Tabell2[[#This Row],[Eldreandel]]&gt;=H$435,H$435,Tabell2[[#This Row],[Eldreandel]]))</f>
        <v>0.18318549942151949</v>
      </c>
      <c r="S289" s="24">
        <f>IF(Tabell2[[#This Row],[Sysselsettingsvekst10]]&lt;=I$434,I$434,IF(Tabell2[[#This Row],[Sysselsettingsvekst10]]&gt;=I$435,I$435,Tabell2[[#This Row],[Sysselsettingsvekst10]]))</f>
        <v>7.2815533980583602E-3</v>
      </c>
      <c r="T289" s="24">
        <f>IF(Tabell2[[#This Row],[Yrkesaktivandel]]&lt;=J$434,J$434,IF(Tabell2[[#This Row],[Yrkesaktivandel]]&gt;=J$435,J$435,Tabell2[[#This Row],[Yrkesaktivandel]]))</f>
        <v>0.92051100070972325</v>
      </c>
      <c r="U289" s="24">
        <f>IF(Tabell2[[#This Row],[Inntekt]]&lt;=K$434,K$434,IF(Tabell2[[#This Row],[Inntekt]]&gt;=K$435,K$435,Tabell2[[#This Row],[Inntekt]]))</f>
        <v>411200</v>
      </c>
      <c r="V289" s="7">
        <f>IF(Tabell2[[#This Row],[NIBR11-T]]&lt;=L$437,100,IF(Tabell2[[#This Row],[NIBR11-T]]&gt;=L$436,0,100*(L$436-Tabell2[[#This Row],[NIBR11-T]])/L$439))</f>
        <v>70</v>
      </c>
      <c r="W289" s="7">
        <f>(M$436-Tabell2[[#This Row],[ReisetidOslo-T]])*100/M$439</f>
        <v>45.838391224883068</v>
      </c>
      <c r="X289" s="7">
        <f>100-(N$436-Tabell2[[#This Row],[Beftettland-T]])*100/N$439</f>
        <v>4.1315098402046857</v>
      </c>
      <c r="Y289" s="7">
        <f>100-(O$436-Tabell2[[#This Row],[Beftettotal-T]])*100/O$439</f>
        <v>4.1919058847110477</v>
      </c>
      <c r="Z289" s="7">
        <f>100-(P$436-Tabell2[[#This Row],[Befvekst10-T]])*100/P$439</f>
        <v>16.209231171812178</v>
      </c>
      <c r="AA289" s="7">
        <f>100-(Q$436-Tabell2[[#This Row],[Kvinneandel-T]])*100/Q$439</f>
        <v>27.222799426344153</v>
      </c>
      <c r="AB289" s="7">
        <f>(R$436-Tabell2[[#This Row],[Eldreandel-T]])*100/R$439</f>
        <v>40.087259936167392</v>
      </c>
      <c r="AC289" s="7">
        <f>100-(S$436-Tabell2[[#This Row],[Sysselsettingsvekst10-T]])*100/S$439</f>
        <v>32.586752083203805</v>
      </c>
      <c r="AD289" s="7">
        <f>100-(T$436-Tabell2[[#This Row],[Yrkesaktivandel-T]])*100/T$439</f>
        <v>85.782584554006831</v>
      </c>
      <c r="AE289" s="7">
        <f>100-(U$436-Tabell2[[#This Row],[Inntekt-T]])*100/U$439</f>
        <v>75.375239814919311</v>
      </c>
      <c r="AF289" s="7">
        <v>14</v>
      </c>
      <c r="AG289" s="7">
        <v>4.5838391224883068</v>
      </c>
      <c r="AH289" s="7">
        <v>0.4191905884711048</v>
      </c>
      <c r="AI289" s="7">
        <v>3.2418462343624359</v>
      </c>
      <c r="AJ289" s="7">
        <v>1.3611399713172077</v>
      </c>
      <c r="AK289" s="7">
        <v>2.0043629968083696</v>
      </c>
      <c r="AL289" s="7">
        <v>3.2586752083203807</v>
      </c>
      <c r="AM289" s="7">
        <v>8.5782584554006842</v>
      </c>
      <c r="AN289" s="7">
        <v>7.5375239814919315</v>
      </c>
      <c r="AO28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44.984836558660412</v>
      </c>
    </row>
    <row r="290" spans="1:41" x14ac:dyDescent="0.3">
      <c r="A290" s="2" t="s">
        <v>287</v>
      </c>
      <c r="B290">
        <f>'Rådata-K'!N289</f>
        <v>5</v>
      </c>
      <c r="C290" s="7">
        <f>'Rådata-K'!M289</f>
        <v>195.1666666667</v>
      </c>
      <c r="D290" s="24">
        <f>'Rådata-K'!O289</f>
        <v>9.6483318304779075</v>
      </c>
      <c r="E290" s="24">
        <f>'Rådata-K'!P289</f>
        <v>9.2142772300748312</v>
      </c>
      <c r="F290" s="24">
        <f>'Rådata-K'!Q289</f>
        <v>1.2907389480476539E-3</v>
      </c>
      <c r="G290" s="24">
        <f>'Rådata-K'!R289</f>
        <v>9.5069287786013534E-2</v>
      </c>
      <c r="H290" s="24">
        <f>'Rådata-K'!S289</f>
        <v>0.20592974540767001</v>
      </c>
      <c r="I290" s="24">
        <f>'Rådata-K'!T289</f>
        <v>-6.4995357474466164E-2</v>
      </c>
      <c r="J290" s="24">
        <f>'Rådata-K'!U289</f>
        <v>0.85688836104513066</v>
      </c>
      <c r="K290" s="24">
        <f>'Rådata-K'!L289</f>
        <v>357100</v>
      </c>
      <c r="L290" s="24">
        <f>Tabell2[[#This Row],[NIBR11]]</f>
        <v>5</v>
      </c>
      <c r="M290" s="24">
        <f>IF(Tabell2[[#This Row],[ReisetidOslo]]&lt;=C$434,C$434,IF(Tabell2[[#This Row],[ReisetidOslo]]&gt;=C$435,C$435,Tabell2[[#This Row],[ReisetidOslo]]))</f>
        <v>195.1666666667</v>
      </c>
      <c r="N290" s="24">
        <f>IF(Tabell2[[#This Row],[Beftettland]]&lt;=D$434,D$434,IF(Tabell2[[#This Row],[Beftettland]]&gt;=D$435,D$435,Tabell2[[#This Row],[Beftettland]]))</f>
        <v>9.6483318304779075</v>
      </c>
      <c r="O290" s="24">
        <f>IF(Tabell2[[#This Row],[Beftettotal]]&lt;=E$434,E$434,IF(Tabell2[[#This Row],[Beftettotal]]&gt;=E$435,E$435,Tabell2[[#This Row],[Beftettotal]]))</f>
        <v>9.2142772300748312</v>
      </c>
      <c r="P290" s="24">
        <f>IF(Tabell2[[#This Row],[Befvekst10]]&lt;=F$434,F$434,IF(Tabell2[[#This Row],[Befvekst10]]&gt;=F$435,F$435,Tabell2[[#This Row],[Befvekst10]]))</f>
        <v>1.2907389480476539E-3</v>
      </c>
      <c r="Q290" s="24">
        <f>IF(Tabell2[[#This Row],[Kvinneandel]]&lt;=G$434,G$434,IF(Tabell2[[#This Row],[Kvinneandel]]&gt;=G$435,G$435,Tabell2[[#This Row],[Kvinneandel]]))</f>
        <v>9.5069287786013534E-2</v>
      </c>
      <c r="R290" s="24">
        <f>IF(Tabell2[[#This Row],[Eldreandel]]&lt;=H$434,H$434,IF(Tabell2[[#This Row],[Eldreandel]]&gt;=H$435,H$435,Tabell2[[#This Row],[Eldreandel]]))</f>
        <v>0.20592974540767001</v>
      </c>
      <c r="S290" s="24">
        <f>IF(Tabell2[[#This Row],[Sysselsettingsvekst10]]&lt;=I$434,I$434,IF(Tabell2[[#This Row],[Sysselsettingsvekst10]]&gt;=I$435,I$435,Tabell2[[#This Row],[Sysselsettingsvekst10]]))</f>
        <v>-6.4995357474466164E-2</v>
      </c>
      <c r="T290" s="24">
        <f>IF(Tabell2[[#This Row],[Yrkesaktivandel]]&lt;=J$434,J$434,IF(Tabell2[[#This Row],[Yrkesaktivandel]]&gt;=J$435,J$435,Tabell2[[#This Row],[Yrkesaktivandel]]))</f>
        <v>0.85688836104513066</v>
      </c>
      <c r="U290" s="24">
        <f>IF(Tabell2[[#This Row],[Inntekt]]&lt;=K$434,K$434,IF(Tabell2[[#This Row],[Inntekt]]&gt;=K$435,K$435,Tabell2[[#This Row],[Inntekt]]))</f>
        <v>357100</v>
      </c>
      <c r="V290" s="7">
        <f>IF(Tabell2[[#This Row],[NIBR11-T]]&lt;=L$437,100,IF(Tabell2[[#This Row],[NIBR11-T]]&gt;=L$436,0,100*(L$436-Tabell2[[#This Row],[NIBR11-T]])/L$439))</f>
        <v>60</v>
      </c>
      <c r="W290" s="7">
        <f>(M$436-Tabell2[[#This Row],[ReisetidOslo-T]])*100/M$439</f>
        <v>37.421572212057598</v>
      </c>
      <c r="X290" s="7">
        <f>100-(N$436-Tabell2[[#This Row],[Beftettland-T]])*100/N$439</f>
        <v>6.099441331294102</v>
      </c>
      <c r="Y290" s="7">
        <f>100-(O$436-Tabell2[[#This Row],[Beftettotal-T]])*100/O$439</f>
        <v>6.0440666810115715</v>
      </c>
      <c r="Z290" s="7">
        <f>100-(P$436-Tabell2[[#This Row],[Befvekst10-T]])*100/P$439</f>
        <v>29.285919893483282</v>
      </c>
      <c r="AA290" s="7">
        <f>100-(Q$436-Tabell2[[#This Row],[Kvinneandel-T]])*100/Q$439</f>
        <v>14.573495606200282</v>
      </c>
      <c r="AB290" s="7">
        <f>(R$436-Tabell2[[#This Row],[Eldreandel-T]])*100/R$439</f>
        <v>15.540422513345064</v>
      </c>
      <c r="AC290" s="7">
        <f>100-(S$436-Tabell2[[#This Row],[Sysselsettingsvekst10-T]])*100/S$439</f>
        <v>8.999088199225767</v>
      </c>
      <c r="AD290" s="7">
        <f>100-(T$436-Tabell2[[#This Row],[Yrkesaktivandel-T]])*100/T$439</f>
        <v>40.909929831663263</v>
      </c>
      <c r="AE290" s="7">
        <f>100-(U$436-Tabell2[[#This Row],[Inntekt-T]])*100/U$439</f>
        <v>14.321182710754996</v>
      </c>
      <c r="AF290" s="7">
        <v>12</v>
      </c>
      <c r="AG290" s="7">
        <v>3.7421572212057601</v>
      </c>
      <c r="AH290" s="7">
        <v>0.60440666810115717</v>
      </c>
      <c r="AI290" s="7">
        <v>5.8571839786966571</v>
      </c>
      <c r="AJ290" s="7">
        <v>0.7286747803100142</v>
      </c>
      <c r="AK290" s="7">
        <v>0.77702112566725323</v>
      </c>
      <c r="AL290" s="7">
        <v>0.89990881992257676</v>
      </c>
      <c r="AM290" s="7">
        <v>4.0909929831663261</v>
      </c>
      <c r="AN290" s="7">
        <v>1.4321182710754998</v>
      </c>
      <c r="AO29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30.132463848145246</v>
      </c>
    </row>
    <row r="291" spans="1:41" x14ac:dyDescent="0.3">
      <c r="A291" s="2" t="s">
        <v>288</v>
      </c>
      <c r="B291">
        <f>'Rådata-K'!N290</f>
        <v>9</v>
      </c>
      <c r="C291" s="7">
        <f>'Rådata-K'!M290</f>
        <v>219.6</v>
      </c>
      <c r="D291" s="24">
        <f>'Rådata-K'!O290</f>
        <v>4.3448447446190066</v>
      </c>
      <c r="E291" s="24">
        <f>'Rådata-K'!P290</f>
        <v>4.1787281725651324</v>
      </c>
      <c r="F291" s="24">
        <f>'Rådata-K'!Q290</f>
        <v>-2.2258637170558537E-2</v>
      </c>
      <c r="G291" s="24">
        <f>'Rådata-K'!R290</f>
        <v>9.5949720670391064E-2</v>
      </c>
      <c r="H291" s="24">
        <f>'Rådata-K'!S290</f>
        <v>0.17458100558659218</v>
      </c>
      <c r="I291" s="24">
        <f>'Rådata-K'!T290</f>
        <v>-5.5683859379009548E-2</v>
      </c>
      <c r="J291" s="24">
        <f>'Rådata-K'!U290</f>
        <v>0.84639960678299342</v>
      </c>
      <c r="K291" s="24">
        <f>'Rådata-K'!L290</f>
        <v>377500</v>
      </c>
      <c r="L291" s="24">
        <f>Tabell2[[#This Row],[NIBR11]]</f>
        <v>9</v>
      </c>
      <c r="M291" s="24">
        <f>IF(Tabell2[[#This Row],[ReisetidOslo]]&lt;=C$434,C$434,IF(Tabell2[[#This Row],[ReisetidOslo]]&gt;=C$435,C$435,Tabell2[[#This Row],[ReisetidOslo]]))</f>
        <v>219.6</v>
      </c>
      <c r="N291" s="24">
        <f>IF(Tabell2[[#This Row],[Beftettland]]&lt;=D$434,D$434,IF(Tabell2[[#This Row],[Beftettland]]&gt;=D$435,D$435,Tabell2[[#This Row],[Beftettland]]))</f>
        <v>4.3448447446190066</v>
      </c>
      <c r="O291" s="24">
        <f>IF(Tabell2[[#This Row],[Beftettotal]]&lt;=E$434,E$434,IF(Tabell2[[#This Row],[Beftettotal]]&gt;=E$435,E$435,Tabell2[[#This Row],[Beftettotal]]))</f>
        <v>4.1787281725651324</v>
      </c>
      <c r="P291" s="24">
        <f>IF(Tabell2[[#This Row],[Befvekst10]]&lt;=F$434,F$434,IF(Tabell2[[#This Row],[Befvekst10]]&gt;=F$435,F$435,Tabell2[[#This Row],[Befvekst10]]))</f>
        <v>-2.2258637170558537E-2</v>
      </c>
      <c r="Q291" s="24">
        <f>IF(Tabell2[[#This Row],[Kvinneandel]]&lt;=G$434,G$434,IF(Tabell2[[#This Row],[Kvinneandel]]&gt;=G$435,G$435,Tabell2[[#This Row],[Kvinneandel]]))</f>
        <v>9.5949720670391064E-2</v>
      </c>
      <c r="R291" s="24">
        <f>IF(Tabell2[[#This Row],[Eldreandel]]&lt;=H$434,H$434,IF(Tabell2[[#This Row],[Eldreandel]]&gt;=H$435,H$435,Tabell2[[#This Row],[Eldreandel]]))</f>
        <v>0.17458100558659218</v>
      </c>
      <c r="S291" s="24">
        <f>IF(Tabell2[[#This Row],[Sysselsettingsvekst10]]&lt;=I$434,I$434,IF(Tabell2[[#This Row],[Sysselsettingsvekst10]]&gt;=I$435,I$435,Tabell2[[#This Row],[Sysselsettingsvekst10]]))</f>
        <v>-5.5683859379009548E-2</v>
      </c>
      <c r="T291" s="24">
        <f>IF(Tabell2[[#This Row],[Yrkesaktivandel]]&lt;=J$434,J$434,IF(Tabell2[[#This Row],[Yrkesaktivandel]]&gt;=J$435,J$435,Tabell2[[#This Row],[Yrkesaktivandel]]))</f>
        <v>0.84639960678299342</v>
      </c>
      <c r="U291" s="24">
        <f>IF(Tabell2[[#This Row],[Inntekt]]&lt;=K$434,K$434,IF(Tabell2[[#This Row],[Inntekt]]&gt;=K$435,K$435,Tabell2[[#This Row],[Inntekt]]))</f>
        <v>377500</v>
      </c>
      <c r="V291" s="7">
        <f>IF(Tabell2[[#This Row],[NIBR11-T]]&lt;=L$437,100,IF(Tabell2[[#This Row],[NIBR11-T]]&gt;=L$436,0,100*(L$436-Tabell2[[#This Row],[NIBR11-T]])/L$439))</f>
        <v>20</v>
      </c>
      <c r="W291" s="7">
        <f>(M$436-Tabell2[[#This Row],[ReisetidOslo-T]])*100/M$439</f>
        <v>26.701279707502938</v>
      </c>
      <c r="X291" s="7">
        <f>100-(N$436-Tabell2[[#This Row],[Beftettland-T]])*100/N$439</f>
        <v>2.1764320780749671</v>
      </c>
      <c r="Y291" s="7">
        <f>100-(O$436-Tabell2[[#This Row],[Beftettotal-T]])*100/O$439</f>
        <v>2.1896632341108813</v>
      </c>
      <c r="Z291" s="7">
        <f>100-(P$436-Tabell2[[#This Row],[Befvekst10-T]])*100/P$439</f>
        <v>19.754049648137695</v>
      </c>
      <c r="AA291" s="7">
        <f>100-(Q$436-Tabell2[[#This Row],[Kvinneandel-T]])*100/Q$439</f>
        <v>16.886439695154706</v>
      </c>
      <c r="AB291" s="7">
        <f>(R$436-Tabell2[[#This Row],[Eldreandel-T]])*100/R$439</f>
        <v>49.373701500343664</v>
      </c>
      <c r="AC291" s="7">
        <f>100-(S$436-Tabell2[[#This Row],[Sysselsettingsvekst10-T]])*100/S$439</f>
        <v>12.037907715451453</v>
      </c>
      <c r="AD291" s="7">
        <f>100-(T$436-Tabell2[[#This Row],[Yrkesaktivandel-T]])*100/T$439</f>
        <v>33.512276245555839</v>
      </c>
      <c r="AE291" s="7">
        <f>100-(U$436-Tabell2[[#This Row],[Inntekt-T]])*100/U$439</f>
        <v>37.343414964450965</v>
      </c>
      <c r="AF291" s="7">
        <v>4</v>
      </c>
      <c r="AG291" s="7">
        <v>2.6701279707502938</v>
      </c>
      <c r="AH291" s="7">
        <v>0.21896632341108813</v>
      </c>
      <c r="AI291" s="7">
        <v>3.950809929627539</v>
      </c>
      <c r="AJ291" s="7">
        <v>0.84432198475773534</v>
      </c>
      <c r="AK291" s="7">
        <v>2.4686850750171834</v>
      </c>
      <c r="AL291" s="7">
        <v>1.2037907715451455</v>
      </c>
      <c r="AM291" s="7">
        <v>3.3512276245555839</v>
      </c>
      <c r="AN291" s="7">
        <v>3.7343414964450967</v>
      </c>
      <c r="AO29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22.442271176109664</v>
      </c>
    </row>
    <row r="292" spans="1:41" x14ac:dyDescent="0.3">
      <c r="A292" s="2" t="s">
        <v>289</v>
      </c>
      <c r="B292">
        <f>'Rådata-K'!N291</f>
        <v>9</v>
      </c>
      <c r="C292" s="7">
        <f>'Rådata-K'!M291</f>
        <v>242.6666666667</v>
      </c>
      <c r="D292" s="24">
        <f>'Rådata-K'!O291</f>
        <v>4.5391980167149564</v>
      </c>
      <c r="E292" s="24">
        <f>'Rådata-K'!P291</f>
        <v>4.3719008869780493</v>
      </c>
      <c r="F292" s="24">
        <f>'Rådata-K'!Q291</f>
        <v>-2.2597019813328956E-2</v>
      </c>
      <c r="G292" s="24">
        <f>'Rådata-K'!R291</f>
        <v>9.9011559725247111E-2</v>
      </c>
      <c r="H292" s="24">
        <f>'Rådata-K'!S291</f>
        <v>0.18964650695258836</v>
      </c>
      <c r="I292" s="24">
        <f>'Rådata-K'!T291</f>
        <v>3.2069970845481022E-2</v>
      </c>
      <c r="J292" s="24">
        <f>'Rådata-K'!U291</f>
        <v>0.90166414523449323</v>
      </c>
      <c r="K292" s="24">
        <f>'Rådata-K'!L291</f>
        <v>359900</v>
      </c>
      <c r="L292" s="24">
        <f>Tabell2[[#This Row],[NIBR11]]</f>
        <v>9</v>
      </c>
      <c r="M292" s="24">
        <f>IF(Tabell2[[#This Row],[ReisetidOslo]]&lt;=C$434,C$434,IF(Tabell2[[#This Row],[ReisetidOslo]]&gt;=C$435,C$435,Tabell2[[#This Row],[ReisetidOslo]]))</f>
        <v>242.6666666667</v>
      </c>
      <c r="N292" s="24">
        <f>IF(Tabell2[[#This Row],[Beftettland]]&lt;=D$434,D$434,IF(Tabell2[[#This Row],[Beftettland]]&gt;=D$435,D$435,Tabell2[[#This Row],[Beftettland]]))</f>
        <v>4.5391980167149564</v>
      </c>
      <c r="O292" s="24">
        <f>IF(Tabell2[[#This Row],[Beftettotal]]&lt;=E$434,E$434,IF(Tabell2[[#This Row],[Beftettotal]]&gt;=E$435,E$435,Tabell2[[#This Row],[Beftettotal]]))</f>
        <v>4.3719008869780493</v>
      </c>
      <c r="P292" s="24">
        <f>IF(Tabell2[[#This Row],[Befvekst10]]&lt;=F$434,F$434,IF(Tabell2[[#This Row],[Befvekst10]]&gt;=F$435,F$435,Tabell2[[#This Row],[Befvekst10]]))</f>
        <v>-2.2597019813328956E-2</v>
      </c>
      <c r="Q292" s="24">
        <f>IF(Tabell2[[#This Row],[Kvinneandel]]&lt;=G$434,G$434,IF(Tabell2[[#This Row],[Kvinneandel]]&gt;=G$435,G$435,Tabell2[[#This Row],[Kvinneandel]]))</f>
        <v>9.9011559725247111E-2</v>
      </c>
      <c r="R292" s="24">
        <f>IF(Tabell2[[#This Row],[Eldreandel]]&lt;=H$434,H$434,IF(Tabell2[[#This Row],[Eldreandel]]&gt;=H$435,H$435,Tabell2[[#This Row],[Eldreandel]]))</f>
        <v>0.18964650695258836</v>
      </c>
      <c r="S292" s="24">
        <f>IF(Tabell2[[#This Row],[Sysselsettingsvekst10]]&lt;=I$434,I$434,IF(Tabell2[[#This Row],[Sysselsettingsvekst10]]&gt;=I$435,I$435,Tabell2[[#This Row],[Sysselsettingsvekst10]]))</f>
        <v>3.2069970845481022E-2</v>
      </c>
      <c r="T292" s="24">
        <f>IF(Tabell2[[#This Row],[Yrkesaktivandel]]&lt;=J$434,J$434,IF(Tabell2[[#This Row],[Yrkesaktivandel]]&gt;=J$435,J$435,Tabell2[[#This Row],[Yrkesaktivandel]]))</f>
        <v>0.90166414523449323</v>
      </c>
      <c r="U292" s="24">
        <f>IF(Tabell2[[#This Row],[Inntekt]]&lt;=K$434,K$434,IF(Tabell2[[#This Row],[Inntekt]]&gt;=K$435,K$435,Tabell2[[#This Row],[Inntekt]]))</f>
        <v>359900</v>
      </c>
      <c r="V292" s="7">
        <f>IF(Tabell2[[#This Row],[NIBR11-T]]&lt;=L$437,100,IF(Tabell2[[#This Row],[NIBR11-T]]&gt;=L$436,0,100*(L$436-Tabell2[[#This Row],[NIBR11-T]])/L$439))</f>
        <v>20</v>
      </c>
      <c r="W292" s="7">
        <f>(M$436-Tabell2[[#This Row],[ReisetidOslo-T]])*100/M$439</f>
        <v>16.580621572205985</v>
      </c>
      <c r="X292" s="7">
        <f>100-(N$436-Tabell2[[#This Row],[Beftettland-T]])*100/N$439</f>
        <v>2.3201959210866505</v>
      </c>
      <c r="Y292" s="7">
        <f>100-(O$436-Tabell2[[#This Row],[Beftettotal-T]])*100/O$439</f>
        <v>2.3375250795177749</v>
      </c>
      <c r="Z292" s="7">
        <f>100-(P$436-Tabell2[[#This Row],[Befvekst10-T]])*100/P$439</f>
        <v>19.617085533762847</v>
      </c>
      <c r="AA292" s="7">
        <f>100-(Q$436-Tabell2[[#This Row],[Kvinneandel-T]])*100/Q$439</f>
        <v>24.930054000027056</v>
      </c>
      <c r="AB292" s="7">
        <f>(R$436-Tabell2[[#This Row],[Eldreandel-T]])*100/R$439</f>
        <v>33.11418632672121</v>
      </c>
      <c r="AC292" s="7">
        <f>100-(S$436-Tabell2[[#This Row],[Sysselsettingsvekst10-T]])*100/S$439</f>
        <v>40.676484362946425</v>
      </c>
      <c r="AD292" s="7">
        <f>100-(T$436-Tabell2[[#This Row],[Yrkesaktivandel-T]])*100/T$439</f>
        <v>72.490013815031929</v>
      </c>
      <c r="AE292" s="7">
        <f>100-(U$436-Tabell2[[#This Row],[Inntekt-T]])*100/U$439</f>
        <v>17.481096941654442</v>
      </c>
      <c r="AF292" s="7">
        <v>4</v>
      </c>
      <c r="AG292" s="7">
        <v>1.6580621572205985</v>
      </c>
      <c r="AH292" s="7">
        <v>0.23375250795177749</v>
      </c>
      <c r="AI292" s="7">
        <v>3.9234171067525696</v>
      </c>
      <c r="AJ292" s="7">
        <v>1.2465027000013529</v>
      </c>
      <c r="AK292" s="7">
        <v>1.6557093163360606</v>
      </c>
      <c r="AL292" s="7">
        <v>4.0676484362946423</v>
      </c>
      <c r="AM292" s="7">
        <v>7.2490013815031933</v>
      </c>
      <c r="AN292" s="7">
        <v>1.7481096941654444</v>
      </c>
      <c r="AO29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25.782203300225639</v>
      </c>
    </row>
    <row r="293" spans="1:41" x14ac:dyDescent="0.3">
      <c r="A293" s="2" t="s">
        <v>290</v>
      </c>
      <c r="B293">
        <f>'Rådata-K'!N292</f>
        <v>9</v>
      </c>
      <c r="C293" s="7">
        <f>'Rådata-K'!M292</f>
        <v>252.3166666667</v>
      </c>
      <c r="D293" s="24">
        <f>'Rådata-K'!O292</f>
        <v>3.3310428323680505</v>
      </c>
      <c r="E293" s="24">
        <f>'Rådata-K'!P292</f>
        <v>3.222334768295771</v>
      </c>
      <c r="F293" s="24">
        <f>'Rådata-K'!Q292</f>
        <v>-2.4904214559386961E-2</v>
      </c>
      <c r="G293" s="24">
        <f>'Rådata-K'!R292</f>
        <v>0.10265225933202357</v>
      </c>
      <c r="H293" s="24">
        <f>'Rådata-K'!S292</f>
        <v>0.20481335952848723</v>
      </c>
      <c r="I293" s="24">
        <f>'Rådata-K'!T292</f>
        <v>-5.4945054945054972E-2</v>
      </c>
      <c r="J293" s="24">
        <f>'Rådata-K'!U292</f>
        <v>0.93470149253731338</v>
      </c>
      <c r="K293" s="24">
        <f>'Rådata-K'!L292</f>
        <v>357900</v>
      </c>
      <c r="L293" s="24">
        <f>Tabell2[[#This Row],[NIBR11]]</f>
        <v>9</v>
      </c>
      <c r="M293" s="24">
        <f>IF(Tabell2[[#This Row],[ReisetidOslo]]&lt;=C$434,C$434,IF(Tabell2[[#This Row],[ReisetidOslo]]&gt;=C$435,C$435,Tabell2[[#This Row],[ReisetidOslo]]))</f>
        <v>252.3166666667</v>
      </c>
      <c r="N293" s="24">
        <f>IF(Tabell2[[#This Row],[Beftettland]]&lt;=D$434,D$434,IF(Tabell2[[#This Row],[Beftettland]]&gt;=D$435,D$435,Tabell2[[#This Row],[Beftettland]]))</f>
        <v>3.3310428323680505</v>
      </c>
      <c r="O293" s="24">
        <f>IF(Tabell2[[#This Row],[Beftettotal]]&lt;=E$434,E$434,IF(Tabell2[[#This Row],[Beftettotal]]&gt;=E$435,E$435,Tabell2[[#This Row],[Beftettotal]]))</f>
        <v>3.222334768295771</v>
      </c>
      <c r="P293" s="24">
        <f>IF(Tabell2[[#This Row],[Befvekst10]]&lt;=F$434,F$434,IF(Tabell2[[#This Row],[Befvekst10]]&gt;=F$435,F$435,Tabell2[[#This Row],[Befvekst10]]))</f>
        <v>-2.4904214559386961E-2</v>
      </c>
      <c r="Q293" s="24">
        <f>IF(Tabell2[[#This Row],[Kvinneandel]]&lt;=G$434,G$434,IF(Tabell2[[#This Row],[Kvinneandel]]&gt;=G$435,G$435,Tabell2[[#This Row],[Kvinneandel]]))</f>
        <v>0.10265225933202357</v>
      </c>
      <c r="R293" s="24">
        <f>IF(Tabell2[[#This Row],[Eldreandel]]&lt;=H$434,H$434,IF(Tabell2[[#This Row],[Eldreandel]]&gt;=H$435,H$435,Tabell2[[#This Row],[Eldreandel]]))</f>
        <v>0.20481335952848723</v>
      </c>
      <c r="S293" s="24">
        <f>IF(Tabell2[[#This Row],[Sysselsettingsvekst10]]&lt;=I$434,I$434,IF(Tabell2[[#This Row],[Sysselsettingsvekst10]]&gt;=I$435,I$435,Tabell2[[#This Row],[Sysselsettingsvekst10]]))</f>
        <v>-5.4945054945054972E-2</v>
      </c>
      <c r="T293" s="24">
        <f>IF(Tabell2[[#This Row],[Yrkesaktivandel]]&lt;=J$434,J$434,IF(Tabell2[[#This Row],[Yrkesaktivandel]]&gt;=J$435,J$435,Tabell2[[#This Row],[Yrkesaktivandel]]))</f>
        <v>0.93470149253731338</v>
      </c>
      <c r="U293" s="24">
        <f>IF(Tabell2[[#This Row],[Inntekt]]&lt;=K$434,K$434,IF(Tabell2[[#This Row],[Inntekt]]&gt;=K$435,K$435,Tabell2[[#This Row],[Inntekt]]))</f>
        <v>357900</v>
      </c>
      <c r="V293" s="7">
        <f>IF(Tabell2[[#This Row],[NIBR11-T]]&lt;=L$437,100,IF(Tabell2[[#This Row],[NIBR11-T]]&gt;=L$436,0,100*(L$436-Tabell2[[#This Row],[NIBR11-T]])/L$439))</f>
        <v>20</v>
      </c>
      <c r="W293" s="7">
        <f>(M$436-Tabell2[[#This Row],[ReisetidOslo-T]])*100/M$439</f>
        <v>12.346617915899287</v>
      </c>
      <c r="X293" s="7">
        <f>100-(N$436-Tabell2[[#This Row],[Beftettland-T]])*100/N$439</f>
        <v>1.4265190079939032</v>
      </c>
      <c r="Y293" s="7">
        <f>100-(O$436-Tabell2[[#This Row],[Beftettotal-T]])*100/O$439</f>
        <v>1.4576028387282918</v>
      </c>
      <c r="Z293" s="7">
        <f>100-(P$436-Tabell2[[#This Row],[Befvekst10-T]])*100/P$439</f>
        <v>18.683222961803153</v>
      </c>
      <c r="AA293" s="7">
        <f>100-(Q$436-Tabell2[[#This Row],[Kvinneandel-T]])*100/Q$439</f>
        <v>34.494365811376341</v>
      </c>
      <c r="AB293" s="7">
        <f>(R$436-Tabell2[[#This Row],[Eldreandel-T]])*100/R$439</f>
        <v>16.745287369894765</v>
      </c>
      <c r="AC293" s="7">
        <f>100-(S$436-Tabell2[[#This Row],[Sysselsettingsvekst10-T]])*100/S$439</f>
        <v>12.279017503539222</v>
      </c>
      <c r="AD293" s="7">
        <f>100-(T$436-Tabell2[[#This Row],[Yrkesaktivandel-T]])*100/T$439</f>
        <v>95.791050777297855</v>
      </c>
      <c r="AE293" s="7">
        <f>100-(U$436-Tabell2[[#This Row],[Inntekt-T]])*100/U$439</f>
        <v>15.224015348154836</v>
      </c>
      <c r="AF293" s="7">
        <v>4</v>
      </c>
      <c r="AG293" s="7">
        <v>1.2346617915899287</v>
      </c>
      <c r="AH293" s="7">
        <v>0.14576028387282919</v>
      </c>
      <c r="AI293" s="7">
        <v>3.7366445923606308</v>
      </c>
      <c r="AJ293" s="7">
        <v>1.7247182905688172</v>
      </c>
      <c r="AK293" s="7">
        <v>0.83726436849473829</v>
      </c>
      <c r="AL293" s="7">
        <v>1.2279017503539222</v>
      </c>
      <c r="AM293" s="7">
        <v>9.5791050777297855</v>
      </c>
      <c r="AN293" s="7">
        <v>1.5224015348154838</v>
      </c>
      <c r="AO29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24.008457689786137</v>
      </c>
    </row>
    <row r="294" spans="1:41" x14ac:dyDescent="0.3">
      <c r="A294" s="2" t="s">
        <v>291</v>
      </c>
      <c r="B294">
        <f>'Rådata-K'!N293</f>
        <v>9</v>
      </c>
      <c r="C294" s="7">
        <f>'Rådata-K'!M293</f>
        <v>221.3</v>
      </c>
      <c r="D294" s="24">
        <f>'Rådata-K'!O293</f>
        <v>5.2926887680043793</v>
      </c>
      <c r="E294" s="24">
        <f>'Rådata-K'!P293</f>
        <v>5.1475726217016602</v>
      </c>
      <c r="F294" s="24">
        <f>'Rådata-K'!Q293</f>
        <v>-8.6237448316597742E-2</v>
      </c>
      <c r="G294" s="24">
        <f>'Rådata-K'!R293</f>
        <v>8.5972850678733032E-2</v>
      </c>
      <c r="H294" s="24">
        <f>'Rådata-K'!S293</f>
        <v>0.23270846800258566</v>
      </c>
      <c r="I294" s="24">
        <f>'Rådata-K'!T293</f>
        <v>-0.17139001349527661</v>
      </c>
      <c r="J294" s="24">
        <f>'Rådata-K'!U293</f>
        <v>0.85960591133004927</v>
      </c>
      <c r="K294" s="24">
        <f>'Rådata-K'!L293</f>
        <v>366200</v>
      </c>
      <c r="L294" s="24">
        <f>Tabell2[[#This Row],[NIBR11]]</f>
        <v>9</v>
      </c>
      <c r="M294" s="24">
        <f>IF(Tabell2[[#This Row],[ReisetidOslo]]&lt;=C$434,C$434,IF(Tabell2[[#This Row],[ReisetidOslo]]&gt;=C$435,C$435,Tabell2[[#This Row],[ReisetidOslo]]))</f>
        <v>221.3</v>
      </c>
      <c r="N294" s="24">
        <f>IF(Tabell2[[#This Row],[Beftettland]]&lt;=D$434,D$434,IF(Tabell2[[#This Row],[Beftettland]]&gt;=D$435,D$435,Tabell2[[#This Row],[Beftettland]]))</f>
        <v>5.2926887680043793</v>
      </c>
      <c r="O294" s="24">
        <f>IF(Tabell2[[#This Row],[Beftettotal]]&lt;=E$434,E$434,IF(Tabell2[[#This Row],[Beftettotal]]&gt;=E$435,E$435,Tabell2[[#This Row],[Beftettotal]]))</f>
        <v>5.1475726217016602</v>
      </c>
      <c r="P294" s="24">
        <f>IF(Tabell2[[#This Row],[Befvekst10]]&lt;=F$434,F$434,IF(Tabell2[[#This Row],[Befvekst10]]&gt;=F$435,F$435,Tabell2[[#This Row],[Befvekst10]]))</f>
        <v>-7.1062862685144085E-2</v>
      </c>
      <c r="Q294" s="24">
        <f>IF(Tabell2[[#This Row],[Kvinneandel]]&lt;=G$434,G$434,IF(Tabell2[[#This Row],[Kvinneandel]]&gt;=G$435,G$435,Tabell2[[#This Row],[Kvinneandel]]))</f>
        <v>8.9521819157910881E-2</v>
      </c>
      <c r="R294" s="24">
        <f>IF(Tabell2[[#This Row],[Eldreandel]]&lt;=H$434,H$434,IF(Tabell2[[#This Row],[Eldreandel]]&gt;=H$435,H$435,Tabell2[[#This Row],[Eldreandel]]))</f>
        <v>0.22032896051974013</v>
      </c>
      <c r="S294" s="24">
        <f>IF(Tabell2[[#This Row],[Sysselsettingsvekst10]]&lt;=I$434,I$434,IF(Tabell2[[#This Row],[Sysselsettingsvekst10]]&gt;=I$435,I$435,Tabell2[[#This Row],[Sysselsettingsvekst10]]))</f>
        <v>-9.2570207570207563E-2</v>
      </c>
      <c r="T294" s="24">
        <f>IF(Tabell2[[#This Row],[Yrkesaktivandel]]&lt;=J$434,J$434,IF(Tabell2[[#This Row],[Yrkesaktivandel]]&gt;=J$435,J$435,Tabell2[[#This Row],[Yrkesaktivandel]]))</f>
        <v>0.85960591133004927</v>
      </c>
      <c r="U294" s="24">
        <f>IF(Tabell2[[#This Row],[Inntekt]]&lt;=K$434,K$434,IF(Tabell2[[#This Row],[Inntekt]]&gt;=K$435,K$435,Tabell2[[#This Row],[Inntekt]]))</f>
        <v>366200</v>
      </c>
      <c r="V294" s="7">
        <f>IF(Tabell2[[#This Row],[NIBR11-T]]&lt;=L$437,100,IF(Tabell2[[#This Row],[NIBR11-T]]&gt;=L$436,0,100*(L$436-Tabell2[[#This Row],[NIBR11-T]])/L$439))</f>
        <v>20</v>
      </c>
      <c r="W294" s="7">
        <f>(M$436-Tabell2[[#This Row],[ReisetidOslo-T]])*100/M$439</f>
        <v>25.955393053024032</v>
      </c>
      <c r="X294" s="7">
        <f>100-(N$436-Tabell2[[#This Row],[Beftettland-T]])*100/N$439</f>
        <v>2.8775558508213948</v>
      </c>
      <c r="Y294" s="7">
        <f>100-(O$436-Tabell2[[#This Row],[Beftettotal-T]])*100/O$439</f>
        <v>2.9312541394151026</v>
      </c>
      <c r="Z294" s="7">
        <f>100-(P$436-Tabell2[[#This Row],[Befvekst10-T]])*100/P$439</f>
        <v>0</v>
      </c>
      <c r="AA294" s="7">
        <f>100-(Q$436-Tabell2[[#This Row],[Kvinneandel-T]])*100/Q$439</f>
        <v>0</v>
      </c>
      <c r="AB294" s="7">
        <f>(R$436-Tabell2[[#This Row],[Eldreandel-T]])*100/R$439</f>
        <v>0</v>
      </c>
      <c r="AC294" s="7">
        <f>100-(S$436-Tabell2[[#This Row],[Sysselsettingsvekst10-T]])*100/S$439</f>
        <v>0</v>
      </c>
      <c r="AD294" s="7">
        <f>100-(T$436-Tabell2[[#This Row],[Yrkesaktivandel-T]])*100/T$439</f>
        <v>42.826601259768488</v>
      </c>
      <c r="AE294" s="7">
        <f>100-(U$436-Tabell2[[#This Row],[Inntekt-T]])*100/U$439</f>
        <v>24.590903961178199</v>
      </c>
      <c r="AF294" s="7">
        <v>4</v>
      </c>
      <c r="AG294" s="7">
        <v>2.5955393053024034</v>
      </c>
      <c r="AH294" s="7">
        <v>0.29312541394151026</v>
      </c>
      <c r="AI294" s="7">
        <v>0</v>
      </c>
      <c r="AJ294" s="7">
        <v>0</v>
      </c>
      <c r="AK294" s="7">
        <v>0</v>
      </c>
      <c r="AL294" s="7">
        <v>0</v>
      </c>
      <c r="AM294" s="7">
        <v>4.2826601259768493</v>
      </c>
      <c r="AN294" s="7">
        <v>2.4590903961178201</v>
      </c>
      <c r="AO29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13.630415241338582</v>
      </c>
    </row>
    <row r="295" spans="1:41" x14ac:dyDescent="0.3">
      <c r="A295" s="2" t="s">
        <v>292</v>
      </c>
      <c r="B295">
        <f>'Rådata-K'!N294</f>
        <v>11</v>
      </c>
      <c r="C295" s="7">
        <f>'Rådata-K'!M294</f>
        <v>232.01666666670002</v>
      </c>
      <c r="D295" s="24">
        <f>'Rådata-K'!O294</f>
        <v>8.2005515550789028</v>
      </c>
      <c r="E295" s="24">
        <f>'Rådata-K'!P294</f>
        <v>7.8739288735243287</v>
      </c>
      <c r="F295" s="24">
        <f>'Rådata-K'!Q294</f>
        <v>-2.3266423357664268E-2</v>
      </c>
      <c r="G295" s="24">
        <f>'Rådata-K'!R294</f>
        <v>9.9953292853806636E-2</v>
      </c>
      <c r="H295" s="24">
        <f>'Rådata-K'!S294</f>
        <v>0.20084072863148061</v>
      </c>
      <c r="I295" s="24">
        <f>'Rådata-K'!T294</f>
        <v>0.18096357226792015</v>
      </c>
      <c r="J295" s="24">
        <f>'Rådata-K'!U294</f>
        <v>0.88486842105263153</v>
      </c>
      <c r="K295" s="24">
        <f>'Rådata-K'!L294</f>
        <v>381700</v>
      </c>
      <c r="L295" s="24">
        <f>Tabell2[[#This Row],[NIBR11]]</f>
        <v>11</v>
      </c>
      <c r="M295" s="24">
        <f>IF(Tabell2[[#This Row],[ReisetidOslo]]&lt;=C$434,C$434,IF(Tabell2[[#This Row],[ReisetidOslo]]&gt;=C$435,C$435,Tabell2[[#This Row],[ReisetidOslo]]))</f>
        <v>232.01666666670002</v>
      </c>
      <c r="N295" s="24">
        <f>IF(Tabell2[[#This Row],[Beftettland]]&lt;=D$434,D$434,IF(Tabell2[[#This Row],[Beftettland]]&gt;=D$435,D$435,Tabell2[[#This Row],[Beftettland]]))</f>
        <v>8.2005515550789028</v>
      </c>
      <c r="O295" s="24">
        <f>IF(Tabell2[[#This Row],[Beftettotal]]&lt;=E$434,E$434,IF(Tabell2[[#This Row],[Beftettotal]]&gt;=E$435,E$435,Tabell2[[#This Row],[Beftettotal]]))</f>
        <v>7.8739288735243287</v>
      </c>
      <c r="P295" s="24">
        <f>IF(Tabell2[[#This Row],[Befvekst10]]&lt;=F$434,F$434,IF(Tabell2[[#This Row],[Befvekst10]]&gt;=F$435,F$435,Tabell2[[#This Row],[Befvekst10]]))</f>
        <v>-2.3266423357664268E-2</v>
      </c>
      <c r="Q295" s="24">
        <f>IF(Tabell2[[#This Row],[Kvinneandel]]&lt;=G$434,G$434,IF(Tabell2[[#This Row],[Kvinneandel]]&gt;=G$435,G$435,Tabell2[[#This Row],[Kvinneandel]]))</f>
        <v>9.9953292853806636E-2</v>
      </c>
      <c r="R295" s="24">
        <f>IF(Tabell2[[#This Row],[Eldreandel]]&lt;=H$434,H$434,IF(Tabell2[[#This Row],[Eldreandel]]&gt;=H$435,H$435,Tabell2[[#This Row],[Eldreandel]]))</f>
        <v>0.20084072863148061</v>
      </c>
      <c r="S295" s="24">
        <f>IF(Tabell2[[#This Row],[Sysselsettingsvekst10]]&lt;=I$434,I$434,IF(Tabell2[[#This Row],[Sysselsettingsvekst10]]&gt;=I$435,I$435,Tabell2[[#This Row],[Sysselsettingsvekst10]]))</f>
        <v>0.18096357226792015</v>
      </c>
      <c r="T295" s="24">
        <f>IF(Tabell2[[#This Row],[Yrkesaktivandel]]&lt;=J$434,J$434,IF(Tabell2[[#This Row],[Yrkesaktivandel]]&gt;=J$435,J$435,Tabell2[[#This Row],[Yrkesaktivandel]]))</f>
        <v>0.88486842105263153</v>
      </c>
      <c r="U295" s="24">
        <f>IF(Tabell2[[#This Row],[Inntekt]]&lt;=K$434,K$434,IF(Tabell2[[#This Row],[Inntekt]]&gt;=K$435,K$435,Tabell2[[#This Row],[Inntekt]]))</f>
        <v>381700</v>
      </c>
      <c r="V295" s="7">
        <f>IF(Tabell2[[#This Row],[NIBR11-T]]&lt;=L$437,100,IF(Tabell2[[#This Row],[NIBR11-T]]&gt;=L$436,0,100*(L$436-Tabell2[[#This Row],[NIBR11-T]])/L$439))</f>
        <v>0</v>
      </c>
      <c r="W295" s="7">
        <f>(M$436-Tabell2[[#This Row],[ReisetidOslo-T]])*100/M$439</f>
        <v>21.253382084088496</v>
      </c>
      <c r="X295" s="7">
        <f>100-(N$436-Tabell2[[#This Row],[Beftettland-T]])*100/N$439</f>
        <v>5.0285128412139528</v>
      </c>
      <c r="Y295" s="7">
        <f>100-(O$436-Tabell2[[#This Row],[Beftettotal-T]])*100/O$439</f>
        <v>5.0181123577523579</v>
      </c>
      <c r="Z295" s="7">
        <f>100-(P$436-Tabell2[[#This Row],[Befvekst10-T]])*100/P$439</f>
        <v>19.346137051126092</v>
      </c>
      <c r="AA295" s="7">
        <f>100-(Q$436-Tabell2[[#This Row],[Kvinneandel-T]])*100/Q$439</f>
        <v>27.404037095983639</v>
      </c>
      <c r="AB295" s="7">
        <f>(R$436-Tabell2[[#This Row],[Eldreandel-T]])*100/R$439</f>
        <v>21.032768468590298</v>
      </c>
      <c r="AC295" s="7">
        <f>100-(S$436-Tabell2[[#This Row],[Sysselsettingsvekst10-T]])*100/S$439</f>
        <v>89.268104873979738</v>
      </c>
      <c r="AD295" s="7">
        <f>100-(T$436-Tabell2[[#This Row],[Yrkesaktivandel-T]])*100/T$439</f>
        <v>60.644093306269539</v>
      </c>
      <c r="AE295" s="7">
        <f>100-(U$436-Tabell2[[#This Row],[Inntekt-T]])*100/U$439</f>
        <v>42.083286310800133</v>
      </c>
      <c r="AF295" s="7">
        <v>0</v>
      </c>
      <c r="AG295" s="7">
        <v>2.1253382084088499</v>
      </c>
      <c r="AH295" s="7">
        <v>0.50181123577523579</v>
      </c>
      <c r="AI295" s="7">
        <v>3.8692274102252187</v>
      </c>
      <c r="AJ295" s="7">
        <v>1.3702018547991821</v>
      </c>
      <c r="AK295" s="7">
        <v>1.0516384234295149</v>
      </c>
      <c r="AL295" s="7">
        <v>8.9268104873979741</v>
      </c>
      <c r="AM295" s="7">
        <v>6.0644093306269546</v>
      </c>
      <c r="AN295" s="7">
        <v>4.2083286310800139</v>
      </c>
      <c r="AO29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28.117765581742944</v>
      </c>
    </row>
    <row r="296" spans="1:41" x14ac:dyDescent="0.3">
      <c r="A296" s="2" t="s">
        <v>293</v>
      </c>
      <c r="B296">
        <f>'Rådata-K'!N295</f>
        <v>11</v>
      </c>
      <c r="C296" s="7">
        <f>'Rådata-K'!M295</f>
        <v>221.71666666670001</v>
      </c>
      <c r="D296" s="24">
        <f>'Rådata-K'!O295</f>
        <v>5.687356247888955</v>
      </c>
      <c r="E296" s="24">
        <f>'Rådata-K'!P295</f>
        <v>5.5131983098679385</v>
      </c>
      <c r="F296" s="24">
        <f>'Rådata-K'!Q295</f>
        <v>-1.531606794764695E-2</v>
      </c>
      <c r="G296" s="24">
        <f>'Rådata-K'!R295</f>
        <v>8.9366515837104074E-2</v>
      </c>
      <c r="H296" s="24">
        <f>'Rådata-K'!S295</f>
        <v>0.20248868778280543</v>
      </c>
      <c r="I296" s="24">
        <f>'Rådata-K'!T295</f>
        <v>-3.9551746868820015E-3</v>
      </c>
      <c r="J296" s="24">
        <f>'Rådata-K'!U295</f>
        <v>0.87874097007223939</v>
      </c>
      <c r="K296" s="24">
        <f>'Rådata-K'!L295</f>
        <v>377100</v>
      </c>
      <c r="L296" s="24">
        <f>Tabell2[[#This Row],[NIBR11]]</f>
        <v>11</v>
      </c>
      <c r="M296" s="24">
        <f>IF(Tabell2[[#This Row],[ReisetidOslo]]&lt;=C$434,C$434,IF(Tabell2[[#This Row],[ReisetidOslo]]&gt;=C$435,C$435,Tabell2[[#This Row],[ReisetidOslo]]))</f>
        <v>221.71666666670001</v>
      </c>
      <c r="N296" s="24">
        <f>IF(Tabell2[[#This Row],[Beftettland]]&lt;=D$434,D$434,IF(Tabell2[[#This Row],[Beftettland]]&gt;=D$435,D$435,Tabell2[[#This Row],[Beftettland]]))</f>
        <v>5.687356247888955</v>
      </c>
      <c r="O296" s="24">
        <f>IF(Tabell2[[#This Row],[Beftettotal]]&lt;=E$434,E$434,IF(Tabell2[[#This Row],[Beftettotal]]&gt;=E$435,E$435,Tabell2[[#This Row],[Beftettotal]]))</f>
        <v>5.5131983098679385</v>
      </c>
      <c r="P296" s="24">
        <f>IF(Tabell2[[#This Row],[Befvekst10]]&lt;=F$434,F$434,IF(Tabell2[[#This Row],[Befvekst10]]&gt;=F$435,F$435,Tabell2[[#This Row],[Befvekst10]]))</f>
        <v>-1.531606794764695E-2</v>
      </c>
      <c r="Q296" s="24">
        <f>IF(Tabell2[[#This Row],[Kvinneandel]]&lt;=G$434,G$434,IF(Tabell2[[#This Row],[Kvinneandel]]&gt;=G$435,G$435,Tabell2[[#This Row],[Kvinneandel]]))</f>
        <v>8.9521819157910881E-2</v>
      </c>
      <c r="R296" s="24">
        <f>IF(Tabell2[[#This Row],[Eldreandel]]&lt;=H$434,H$434,IF(Tabell2[[#This Row],[Eldreandel]]&gt;=H$435,H$435,Tabell2[[#This Row],[Eldreandel]]))</f>
        <v>0.20248868778280543</v>
      </c>
      <c r="S296" s="24">
        <f>IF(Tabell2[[#This Row],[Sysselsettingsvekst10]]&lt;=I$434,I$434,IF(Tabell2[[#This Row],[Sysselsettingsvekst10]]&gt;=I$435,I$435,Tabell2[[#This Row],[Sysselsettingsvekst10]]))</f>
        <v>-3.9551746868820015E-3</v>
      </c>
      <c r="T296" s="24">
        <f>IF(Tabell2[[#This Row],[Yrkesaktivandel]]&lt;=J$434,J$434,IF(Tabell2[[#This Row],[Yrkesaktivandel]]&gt;=J$435,J$435,Tabell2[[#This Row],[Yrkesaktivandel]]))</f>
        <v>0.87874097007223939</v>
      </c>
      <c r="U296" s="24">
        <f>IF(Tabell2[[#This Row],[Inntekt]]&lt;=K$434,K$434,IF(Tabell2[[#This Row],[Inntekt]]&gt;=K$435,K$435,Tabell2[[#This Row],[Inntekt]]))</f>
        <v>377100</v>
      </c>
      <c r="V296" s="7">
        <f>IF(Tabell2[[#This Row],[NIBR11-T]]&lt;=L$437,100,IF(Tabell2[[#This Row],[NIBR11-T]]&gt;=L$436,0,100*(L$436-Tabell2[[#This Row],[NIBR11-T]])/L$439))</f>
        <v>0</v>
      </c>
      <c r="W296" s="7">
        <f>(M$436-Tabell2[[#This Row],[ReisetidOslo-T]])*100/M$439</f>
        <v>25.77257769651948</v>
      </c>
      <c r="X296" s="7">
        <f>100-(N$436-Tabell2[[#This Row],[Beftettland-T]])*100/N$439</f>
        <v>3.1694928632938257</v>
      </c>
      <c r="Y296" s="7">
        <f>100-(O$436-Tabell2[[#This Row],[Beftettotal-T]])*100/O$439</f>
        <v>3.2111181416616574</v>
      </c>
      <c r="Z296" s="7">
        <f>100-(P$436-Tabell2[[#This Row],[Befvekst10-T]])*100/P$439</f>
        <v>22.564131268509698</v>
      </c>
      <c r="AA296" s="7">
        <f>100-(Q$436-Tabell2[[#This Row],[Kvinneandel-T]])*100/Q$439</f>
        <v>0</v>
      </c>
      <c r="AB296" s="7">
        <f>(R$436-Tabell2[[#This Row],[Eldreandel-T]])*100/R$439</f>
        <v>19.254200588535937</v>
      </c>
      <c r="AC296" s="7">
        <f>100-(S$436-Tabell2[[#This Row],[Sysselsettingsvekst10-T]])*100/S$439</f>
        <v>28.919631255493044</v>
      </c>
      <c r="AD296" s="7">
        <f>100-(T$436-Tabell2[[#This Row],[Yrkesaktivandel-T]])*100/T$439</f>
        <v>56.322439982535471</v>
      </c>
      <c r="AE296" s="7">
        <f>100-(U$436-Tabell2[[#This Row],[Inntekt-T]])*100/U$439</f>
        <v>36.891998645751045</v>
      </c>
      <c r="AF296" s="7">
        <v>0</v>
      </c>
      <c r="AG296" s="7">
        <v>2.5772577696519483</v>
      </c>
      <c r="AH296" s="7">
        <v>0.32111181416616574</v>
      </c>
      <c r="AI296" s="7">
        <v>4.5128262537019399</v>
      </c>
      <c r="AJ296" s="7">
        <v>0</v>
      </c>
      <c r="AK296" s="7">
        <v>0.96271002942679695</v>
      </c>
      <c r="AL296" s="7">
        <v>2.8919631255493048</v>
      </c>
      <c r="AM296" s="7">
        <v>5.6322439982535473</v>
      </c>
      <c r="AN296" s="7">
        <v>3.6891998645751047</v>
      </c>
      <c r="AO29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20.587312855324807</v>
      </c>
    </row>
    <row r="297" spans="1:41" x14ac:dyDescent="0.3">
      <c r="A297" s="2" t="s">
        <v>294</v>
      </c>
      <c r="B297">
        <f>'Rådata-K'!N296</f>
        <v>2</v>
      </c>
      <c r="C297" s="7">
        <f>'Rådata-K'!M296</f>
        <v>179.28333333329999</v>
      </c>
      <c r="D297" s="24">
        <f>'Rådata-K'!O296</f>
        <v>582.49284914811597</v>
      </c>
      <c r="E297" s="24">
        <f>'Rådata-K'!P296</f>
        <v>549.11632814560801</v>
      </c>
      <c r="F297" s="24">
        <f>'Rådata-K'!Q296</f>
        <v>0.18119574057611931</v>
      </c>
      <c r="G297" s="24">
        <f>'Rådata-K'!R296</f>
        <v>0.15470262018756037</v>
      </c>
      <c r="H297" s="24">
        <f>'Rådata-K'!S296</f>
        <v>0.12067060575491186</v>
      </c>
      <c r="I297" s="24">
        <f>'Rådata-K'!T296</f>
        <v>0.17297852687513626</v>
      </c>
      <c r="J297" s="24">
        <f>'Rådata-K'!U296</f>
        <v>0.8182378519863216</v>
      </c>
      <c r="K297" s="24">
        <f>'Rådata-K'!L296</f>
        <v>420900</v>
      </c>
      <c r="L297" s="24">
        <f>Tabell2[[#This Row],[NIBR11]]</f>
        <v>2</v>
      </c>
      <c r="M297" s="24">
        <f>IF(Tabell2[[#This Row],[ReisetidOslo]]&lt;=C$434,C$434,IF(Tabell2[[#This Row],[ReisetidOslo]]&gt;=C$435,C$435,Tabell2[[#This Row],[ReisetidOslo]]))</f>
        <v>179.28333333329999</v>
      </c>
      <c r="N297" s="24">
        <f>IF(Tabell2[[#This Row],[Beftettland]]&lt;=D$434,D$434,IF(Tabell2[[#This Row],[Beftettland]]&gt;=D$435,D$435,Tabell2[[#This Row],[Beftettland]]))</f>
        <v>136.59179999736304</v>
      </c>
      <c r="O297" s="24">
        <f>IF(Tabell2[[#This Row],[Beftettotal]]&lt;=E$434,E$434,IF(Tabell2[[#This Row],[Beftettotal]]&gt;=E$435,E$435,Tabell2[[#This Row],[Beftettotal]]))</f>
        <v>131.96212083018065</v>
      </c>
      <c r="P297" s="24">
        <f>IF(Tabell2[[#This Row],[Befvekst10]]&lt;=F$434,F$434,IF(Tabell2[[#This Row],[Befvekst10]]&gt;=F$435,F$435,Tabell2[[#This Row],[Befvekst10]]))</f>
        <v>0.17599648151968622</v>
      </c>
      <c r="Q297" s="24">
        <f>IF(Tabell2[[#This Row],[Kvinneandel]]&lt;=G$434,G$434,IF(Tabell2[[#This Row],[Kvinneandel]]&gt;=G$435,G$435,Tabell2[[#This Row],[Kvinneandel]]))</f>
        <v>0.12758728250318055</v>
      </c>
      <c r="R297" s="24">
        <f>IF(Tabell2[[#This Row],[Eldreandel]]&lt;=H$434,H$434,IF(Tabell2[[#This Row],[Eldreandel]]&gt;=H$435,H$435,Tabell2[[#This Row],[Eldreandel]]))</f>
        <v>0.12767243783057225</v>
      </c>
      <c r="S297" s="24">
        <f>IF(Tabell2[[#This Row],[Sysselsettingsvekst10]]&lt;=I$434,I$434,IF(Tabell2[[#This Row],[Sysselsettingsvekst10]]&gt;=I$435,I$435,Tabell2[[#This Row],[Sysselsettingsvekst10]]))</f>
        <v>0.17297852687513626</v>
      </c>
      <c r="T297" s="24">
        <f>IF(Tabell2[[#This Row],[Yrkesaktivandel]]&lt;=J$434,J$434,IF(Tabell2[[#This Row],[Yrkesaktivandel]]&gt;=J$435,J$435,Tabell2[[#This Row],[Yrkesaktivandel]]))</f>
        <v>0.8182378519863216</v>
      </c>
      <c r="U297" s="24">
        <f>IF(Tabell2[[#This Row],[Inntekt]]&lt;=K$434,K$434,IF(Tabell2[[#This Row],[Inntekt]]&gt;=K$435,K$435,Tabell2[[#This Row],[Inntekt]]))</f>
        <v>420900</v>
      </c>
      <c r="V297" s="7">
        <f>IF(Tabell2[[#This Row],[NIBR11-T]]&lt;=L$437,100,IF(Tabell2[[#This Row],[NIBR11-T]]&gt;=L$436,0,100*(L$436-Tabell2[[#This Row],[NIBR11-T]])/L$439))</f>
        <v>90</v>
      </c>
      <c r="W297" s="7">
        <f>(M$436-Tabell2[[#This Row],[ReisetidOslo-T]])*100/M$439</f>
        <v>44.390493601482845</v>
      </c>
      <c r="X297" s="7">
        <f>100-(N$436-Tabell2[[#This Row],[Beftettland-T]])*100/N$439</f>
        <v>100</v>
      </c>
      <c r="Y297" s="7">
        <f>100-(O$436-Tabell2[[#This Row],[Beftettotal-T]])*100/O$439</f>
        <v>100</v>
      </c>
      <c r="Z297" s="7">
        <f>100-(P$436-Tabell2[[#This Row],[Befvekst10-T]])*100/P$439</f>
        <v>100</v>
      </c>
      <c r="AA297" s="7">
        <f>100-(Q$436-Tabell2[[#This Row],[Kvinneandel-T]])*100/Q$439</f>
        <v>100</v>
      </c>
      <c r="AB297" s="7">
        <f>(R$436-Tabell2[[#This Row],[Eldreandel-T]])*100/R$439</f>
        <v>100</v>
      </c>
      <c r="AC297" s="7">
        <f>100-(S$436-Tabell2[[#This Row],[Sysselsettingsvekst10-T]])*100/S$439</f>
        <v>86.662174922774625</v>
      </c>
      <c r="AD297" s="7">
        <f>100-(T$436-Tabell2[[#This Row],[Yrkesaktivandel-T]])*100/T$439</f>
        <v>13.649964558578915</v>
      </c>
      <c r="AE297" s="7">
        <f>100-(U$436-Tabell2[[#This Row],[Inntekt-T]])*100/U$439</f>
        <v>86.32208554339239</v>
      </c>
      <c r="AF297" s="7">
        <v>18</v>
      </c>
      <c r="AG297" s="7">
        <v>4.4390493601482843</v>
      </c>
      <c r="AH297" s="7">
        <v>10</v>
      </c>
      <c r="AI297" s="7">
        <v>20</v>
      </c>
      <c r="AJ297" s="7">
        <v>5</v>
      </c>
      <c r="AK297" s="7">
        <v>5</v>
      </c>
      <c r="AL297" s="7">
        <v>8.6662174922774629</v>
      </c>
      <c r="AM297" s="7">
        <v>1.3649964558578915</v>
      </c>
      <c r="AN297" s="7">
        <v>8.6322085543392397</v>
      </c>
      <c r="AO29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81.102471862622892</v>
      </c>
    </row>
    <row r="298" spans="1:41" x14ac:dyDescent="0.3">
      <c r="A298" s="2" t="s">
        <v>295</v>
      </c>
      <c r="B298">
        <f>'Rådata-K'!N297</f>
        <v>9</v>
      </c>
      <c r="C298" s="7">
        <f>'Rådata-K'!M297</f>
        <v>251.4166666667</v>
      </c>
      <c r="D298" s="24">
        <f>'Rådata-K'!O297</f>
        <v>6.7076051015588094</v>
      </c>
      <c r="E298" s="24">
        <f>'Rådata-K'!P297</f>
        <v>6.3591580832960144</v>
      </c>
      <c r="F298" s="24">
        <f>'Rådata-K'!Q297</f>
        <v>-7.686932215234088E-3</v>
      </c>
      <c r="G298" s="24">
        <f>'Rådata-K'!R297</f>
        <v>0.10892018779342723</v>
      </c>
      <c r="H298" s="24">
        <f>'Rådata-K'!S297</f>
        <v>0.18497652582159624</v>
      </c>
      <c r="I298" s="24">
        <f>'Rådata-K'!T297</f>
        <v>0.16476247745039085</v>
      </c>
      <c r="J298" s="24">
        <f>'Rådata-K'!U297</f>
        <v>0.85921501706484638</v>
      </c>
      <c r="K298" s="24">
        <f>'Rådata-K'!L297</f>
        <v>368900</v>
      </c>
      <c r="L298" s="24">
        <f>Tabell2[[#This Row],[NIBR11]]</f>
        <v>9</v>
      </c>
      <c r="M298" s="24">
        <f>IF(Tabell2[[#This Row],[ReisetidOslo]]&lt;=C$434,C$434,IF(Tabell2[[#This Row],[ReisetidOslo]]&gt;=C$435,C$435,Tabell2[[#This Row],[ReisetidOslo]]))</f>
        <v>251.4166666667</v>
      </c>
      <c r="N298" s="24">
        <f>IF(Tabell2[[#This Row],[Beftettland]]&lt;=D$434,D$434,IF(Tabell2[[#This Row],[Beftettland]]&gt;=D$435,D$435,Tabell2[[#This Row],[Beftettland]]))</f>
        <v>6.7076051015588094</v>
      </c>
      <c r="O298" s="24">
        <f>IF(Tabell2[[#This Row],[Beftettotal]]&lt;=E$434,E$434,IF(Tabell2[[#This Row],[Beftettotal]]&gt;=E$435,E$435,Tabell2[[#This Row],[Beftettotal]]))</f>
        <v>6.3591580832960144</v>
      </c>
      <c r="P298" s="24">
        <f>IF(Tabell2[[#This Row],[Befvekst10]]&lt;=F$434,F$434,IF(Tabell2[[#This Row],[Befvekst10]]&gt;=F$435,F$435,Tabell2[[#This Row],[Befvekst10]]))</f>
        <v>-7.686932215234088E-3</v>
      </c>
      <c r="Q298" s="24">
        <f>IF(Tabell2[[#This Row],[Kvinneandel]]&lt;=G$434,G$434,IF(Tabell2[[#This Row],[Kvinneandel]]&gt;=G$435,G$435,Tabell2[[#This Row],[Kvinneandel]]))</f>
        <v>0.10892018779342723</v>
      </c>
      <c r="R298" s="24">
        <f>IF(Tabell2[[#This Row],[Eldreandel]]&lt;=H$434,H$434,IF(Tabell2[[#This Row],[Eldreandel]]&gt;=H$435,H$435,Tabell2[[#This Row],[Eldreandel]]))</f>
        <v>0.18497652582159624</v>
      </c>
      <c r="S298" s="24">
        <f>IF(Tabell2[[#This Row],[Sysselsettingsvekst10]]&lt;=I$434,I$434,IF(Tabell2[[#This Row],[Sysselsettingsvekst10]]&gt;=I$435,I$435,Tabell2[[#This Row],[Sysselsettingsvekst10]]))</f>
        <v>0.16476247745039085</v>
      </c>
      <c r="T298" s="24">
        <f>IF(Tabell2[[#This Row],[Yrkesaktivandel]]&lt;=J$434,J$434,IF(Tabell2[[#This Row],[Yrkesaktivandel]]&gt;=J$435,J$435,Tabell2[[#This Row],[Yrkesaktivandel]]))</f>
        <v>0.85921501706484638</v>
      </c>
      <c r="U298" s="24">
        <f>IF(Tabell2[[#This Row],[Inntekt]]&lt;=K$434,K$434,IF(Tabell2[[#This Row],[Inntekt]]&gt;=K$435,K$435,Tabell2[[#This Row],[Inntekt]]))</f>
        <v>368900</v>
      </c>
      <c r="V298" s="7">
        <f>IF(Tabell2[[#This Row],[NIBR11-T]]&lt;=L$437,100,IF(Tabell2[[#This Row],[NIBR11-T]]&gt;=L$436,0,100*(L$436-Tabell2[[#This Row],[NIBR11-T]])/L$439))</f>
        <v>20</v>
      </c>
      <c r="W298" s="7">
        <f>(M$436-Tabell2[[#This Row],[ReisetidOslo-T]])*100/M$439</f>
        <v>12.74149908591753</v>
      </c>
      <c r="X298" s="7">
        <f>100-(N$436-Tabell2[[#This Row],[Beftettland-T]])*100/N$439</f>
        <v>3.9241747600792678</v>
      </c>
      <c r="Y298" s="7">
        <f>100-(O$436-Tabell2[[#This Row],[Beftettotal-T]])*100/O$439</f>
        <v>3.8586483770741609</v>
      </c>
      <c r="Z298" s="7">
        <f>100-(P$436-Tabell2[[#This Row],[Befvekst10-T]])*100/P$439</f>
        <v>25.65210827134986</v>
      </c>
      <c r="AA298" s="7">
        <f>100-(Q$436-Tabell2[[#This Row],[Kvinneandel-T]])*100/Q$439</f>
        <v>50.960547779400535</v>
      </c>
      <c r="AB298" s="7">
        <f>(R$436-Tabell2[[#This Row],[Eldreandel-T]])*100/R$439</f>
        <v>38.154286036331911</v>
      </c>
      <c r="AC298" s="7">
        <f>100-(S$436-Tabell2[[#This Row],[Sysselsettingsvekst10-T]])*100/S$439</f>
        <v>83.980856505239487</v>
      </c>
      <c r="AD298" s="7">
        <f>100-(T$436-Tabell2[[#This Row],[Yrkesaktivandel-T]])*100/T$439</f>
        <v>42.550905949296236</v>
      </c>
      <c r="AE298" s="7">
        <f>100-(U$436-Tabell2[[#This Row],[Inntekt-T]])*100/U$439</f>
        <v>27.637964112402656</v>
      </c>
      <c r="AF298" s="7">
        <v>4</v>
      </c>
      <c r="AG298" s="7">
        <v>1.2741499085917531</v>
      </c>
      <c r="AH298" s="7">
        <v>0.38586483770741609</v>
      </c>
      <c r="AI298" s="7">
        <v>5.1304216542699725</v>
      </c>
      <c r="AJ298" s="7">
        <v>2.5480273889700271</v>
      </c>
      <c r="AK298" s="7">
        <v>1.9077143018165956</v>
      </c>
      <c r="AL298" s="7">
        <v>8.3980856505239494</v>
      </c>
      <c r="AM298" s="7">
        <v>4.2550905949296238</v>
      </c>
      <c r="AN298" s="7">
        <v>2.763796411240266</v>
      </c>
      <c r="AO29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30.663150748049603</v>
      </c>
    </row>
    <row r="299" spans="1:41" x14ac:dyDescent="0.3">
      <c r="A299" s="2" t="s">
        <v>296</v>
      </c>
      <c r="B299">
        <f>'Rådata-K'!N298</f>
        <v>5</v>
      </c>
      <c r="C299" s="7">
        <f>'Rådata-K'!M298</f>
        <v>234.78333333329999</v>
      </c>
      <c r="D299" s="24">
        <f>'Rådata-K'!O298</f>
        <v>2.0002454288869802</v>
      </c>
      <c r="E299" s="24">
        <f>'Rådata-K'!P298</f>
        <v>1.92478006730826</v>
      </c>
      <c r="F299" s="24">
        <f>'Rådata-K'!Q298</f>
        <v>-6.5009560229445484E-2</v>
      </c>
      <c r="G299" s="24">
        <f>'Rådata-K'!R298</f>
        <v>8.4867075664621677E-2</v>
      </c>
      <c r="H299" s="24">
        <f>'Rådata-K'!S298</f>
        <v>0.20347648261758691</v>
      </c>
      <c r="I299" s="24">
        <f>'Rådata-K'!T298</f>
        <v>-5.5702917771883298E-2</v>
      </c>
      <c r="J299" s="24">
        <f>'Rådata-K'!U298</f>
        <v>0.91651542649727769</v>
      </c>
      <c r="K299" s="24">
        <f>'Rådata-K'!L298</f>
        <v>366200</v>
      </c>
      <c r="L299" s="24">
        <f>Tabell2[[#This Row],[NIBR11]]</f>
        <v>5</v>
      </c>
      <c r="M299" s="24">
        <f>IF(Tabell2[[#This Row],[ReisetidOslo]]&lt;=C$434,C$434,IF(Tabell2[[#This Row],[ReisetidOslo]]&gt;=C$435,C$435,Tabell2[[#This Row],[ReisetidOslo]]))</f>
        <v>234.78333333329999</v>
      </c>
      <c r="N299" s="24">
        <f>IF(Tabell2[[#This Row],[Beftettland]]&lt;=D$434,D$434,IF(Tabell2[[#This Row],[Beftettland]]&gt;=D$435,D$435,Tabell2[[#This Row],[Beftettland]]))</f>
        <v>2.0002454288869802</v>
      </c>
      <c r="O299" s="24">
        <f>IF(Tabell2[[#This Row],[Beftettotal]]&lt;=E$434,E$434,IF(Tabell2[[#This Row],[Beftettotal]]&gt;=E$435,E$435,Tabell2[[#This Row],[Beftettotal]]))</f>
        <v>1.92478006730826</v>
      </c>
      <c r="P299" s="24">
        <f>IF(Tabell2[[#This Row],[Befvekst10]]&lt;=F$434,F$434,IF(Tabell2[[#This Row],[Befvekst10]]&gt;=F$435,F$435,Tabell2[[#This Row],[Befvekst10]]))</f>
        <v>-6.5009560229445484E-2</v>
      </c>
      <c r="Q299" s="24">
        <f>IF(Tabell2[[#This Row],[Kvinneandel]]&lt;=G$434,G$434,IF(Tabell2[[#This Row],[Kvinneandel]]&gt;=G$435,G$435,Tabell2[[#This Row],[Kvinneandel]]))</f>
        <v>8.9521819157910881E-2</v>
      </c>
      <c r="R299" s="24">
        <f>IF(Tabell2[[#This Row],[Eldreandel]]&lt;=H$434,H$434,IF(Tabell2[[#This Row],[Eldreandel]]&gt;=H$435,H$435,Tabell2[[#This Row],[Eldreandel]]))</f>
        <v>0.20347648261758691</v>
      </c>
      <c r="S299" s="24">
        <f>IF(Tabell2[[#This Row],[Sysselsettingsvekst10]]&lt;=I$434,I$434,IF(Tabell2[[#This Row],[Sysselsettingsvekst10]]&gt;=I$435,I$435,Tabell2[[#This Row],[Sysselsettingsvekst10]]))</f>
        <v>-5.5702917771883298E-2</v>
      </c>
      <c r="T299" s="24">
        <f>IF(Tabell2[[#This Row],[Yrkesaktivandel]]&lt;=J$434,J$434,IF(Tabell2[[#This Row],[Yrkesaktivandel]]&gt;=J$435,J$435,Tabell2[[#This Row],[Yrkesaktivandel]]))</f>
        <v>0.91651542649727769</v>
      </c>
      <c r="U299" s="24">
        <f>IF(Tabell2[[#This Row],[Inntekt]]&lt;=K$434,K$434,IF(Tabell2[[#This Row],[Inntekt]]&gt;=K$435,K$435,Tabell2[[#This Row],[Inntekt]]))</f>
        <v>366200</v>
      </c>
      <c r="V299" s="7">
        <f>IF(Tabell2[[#This Row],[NIBR11-T]]&lt;=L$437,100,IF(Tabell2[[#This Row],[NIBR11-T]]&gt;=L$436,0,100*(L$436-Tabell2[[#This Row],[NIBR11-T]])/L$439))</f>
        <v>60</v>
      </c>
      <c r="W299" s="7">
        <f>(M$436-Tabell2[[#This Row],[ReisetidOslo-T]])*100/M$439</f>
        <v>20.039488117024646</v>
      </c>
      <c r="X299" s="7">
        <f>100-(N$436-Tabell2[[#This Row],[Beftettland-T]])*100/N$439</f>
        <v>0.44212318624549596</v>
      </c>
      <c r="Y299" s="7">
        <f>100-(O$436-Tabell2[[#This Row],[Beftettotal-T]])*100/O$439</f>
        <v>0.46440442979415764</v>
      </c>
      <c r="Z299" s="7">
        <f>100-(P$436-Tabell2[[#This Row],[Befvekst10-T]])*100/P$439</f>
        <v>2.4501410684066229</v>
      </c>
      <c r="AA299" s="7">
        <f>100-(Q$436-Tabell2[[#This Row],[Kvinneandel-T]])*100/Q$439</f>
        <v>0</v>
      </c>
      <c r="AB299" s="7">
        <f>(R$436-Tabell2[[#This Row],[Eldreandel-T]])*100/R$439</f>
        <v>18.18811823824614</v>
      </c>
      <c r="AC299" s="7">
        <f>100-(S$436-Tabell2[[#This Row],[Sysselsettingsvekst10-T]])*100/S$439</f>
        <v>12.031687984145179</v>
      </c>
      <c r="AD299" s="7">
        <f>100-(T$436-Tabell2[[#This Row],[Yrkesaktivandel-T]])*100/T$439</f>
        <v>82.964530744894759</v>
      </c>
      <c r="AE299" s="7">
        <f>100-(U$436-Tabell2[[#This Row],[Inntekt-T]])*100/U$439</f>
        <v>24.590903961178199</v>
      </c>
      <c r="AF299" s="7">
        <v>12</v>
      </c>
      <c r="AG299" s="7">
        <v>2.0039488117024646</v>
      </c>
      <c r="AH299" s="7">
        <v>4.6440442979415769E-2</v>
      </c>
      <c r="AI299" s="7">
        <v>0.4900282136813246</v>
      </c>
      <c r="AJ299" s="7">
        <v>0</v>
      </c>
      <c r="AK299" s="7">
        <v>0.90940591191230702</v>
      </c>
      <c r="AL299" s="7">
        <v>1.2031687984145181</v>
      </c>
      <c r="AM299" s="7">
        <v>8.2964530744894756</v>
      </c>
      <c r="AN299" s="7">
        <v>2.4590903961178201</v>
      </c>
      <c r="AO29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27.408535649297324</v>
      </c>
    </row>
    <row r="300" spans="1:41" x14ac:dyDescent="0.3">
      <c r="A300" s="2" t="s">
        <v>297</v>
      </c>
      <c r="B300">
        <f>'Rådata-K'!N299</f>
        <v>10</v>
      </c>
      <c r="C300" s="7">
        <f>'Rådata-K'!M299</f>
        <v>279.133333333</v>
      </c>
      <c r="D300" s="24">
        <f>'Rådata-K'!O299</f>
        <v>7.1783562154438716</v>
      </c>
      <c r="E300" s="24">
        <f>'Rådata-K'!P299</f>
        <v>6.7931627448963097</v>
      </c>
      <c r="F300" s="24">
        <f>'Rådata-K'!Q299</f>
        <v>0.14946530713752804</v>
      </c>
      <c r="G300" s="24">
        <f>'Rådata-K'!R299</f>
        <v>0.11553440069234097</v>
      </c>
      <c r="H300" s="24">
        <f>'Rådata-K'!S299</f>
        <v>0.1771960190393769</v>
      </c>
      <c r="I300" s="24">
        <f>'Rådata-K'!T299</f>
        <v>0.26071055381400199</v>
      </c>
      <c r="J300" s="24">
        <f>'Rådata-K'!U299</f>
        <v>0.88036117381489842</v>
      </c>
      <c r="K300" s="24">
        <f>'Rådata-K'!L299</f>
        <v>365100</v>
      </c>
      <c r="L300" s="24">
        <f>Tabell2[[#This Row],[NIBR11]]</f>
        <v>10</v>
      </c>
      <c r="M300" s="24">
        <f>IF(Tabell2[[#This Row],[ReisetidOslo]]&lt;=C$434,C$434,IF(Tabell2[[#This Row],[ReisetidOslo]]&gt;=C$435,C$435,Tabell2[[#This Row],[ReisetidOslo]]))</f>
        <v>279.133333333</v>
      </c>
      <c r="N300" s="24">
        <f>IF(Tabell2[[#This Row],[Beftettland]]&lt;=D$434,D$434,IF(Tabell2[[#This Row],[Beftettland]]&gt;=D$435,D$435,Tabell2[[#This Row],[Beftettland]]))</f>
        <v>7.1783562154438716</v>
      </c>
      <c r="O300" s="24">
        <f>IF(Tabell2[[#This Row],[Beftettotal]]&lt;=E$434,E$434,IF(Tabell2[[#This Row],[Beftettotal]]&gt;=E$435,E$435,Tabell2[[#This Row],[Beftettotal]]))</f>
        <v>6.7931627448963097</v>
      </c>
      <c r="P300" s="24">
        <f>IF(Tabell2[[#This Row],[Befvekst10]]&lt;=F$434,F$434,IF(Tabell2[[#This Row],[Befvekst10]]&gt;=F$435,F$435,Tabell2[[#This Row],[Befvekst10]]))</f>
        <v>0.14946530713752804</v>
      </c>
      <c r="Q300" s="24">
        <f>IF(Tabell2[[#This Row],[Kvinneandel]]&lt;=G$434,G$434,IF(Tabell2[[#This Row],[Kvinneandel]]&gt;=G$435,G$435,Tabell2[[#This Row],[Kvinneandel]]))</f>
        <v>0.11553440069234097</v>
      </c>
      <c r="R300" s="24">
        <f>IF(Tabell2[[#This Row],[Eldreandel]]&lt;=H$434,H$434,IF(Tabell2[[#This Row],[Eldreandel]]&gt;=H$435,H$435,Tabell2[[#This Row],[Eldreandel]]))</f>
        <v>0.1771960190393769</v>
      </c>
      <c r="S300" s="24">
        <f>IF(Tabell2[[#This Row],[Sysselsettingsvekst10]]&lt;=I$434,I$434,IF(Tabell2[[#This Row],[Sysselsettingsvekst10]]&gt;=I$435,I$435,Tabell2[[#This Row],[Sysselsettingsvekst10]]))</f>
        <v>0.21384805931725109</v>
      </c>
      <c r="T300" s="24">
        <f>IF(Tabell2[[#This Row],[Yrkesaktivandel]]&lt;=J$434,J$434,IF(Tabell2[[#This Row],[Yrkesaktivandel]]&gt;=J$435,J$435,Tabell2[[#This Row],[Yrkesaktivandel]]))</f>
        <v>0.88036117381489842</v>
      </c>
      <c r="U300" s="24">
        <f>IF(Tabell2[[#This Row],[Inntekt]]&lt;=K$434,K$434,IF(Tabell2[[#This Row],[Inntekt]]&gt;=K$435,K$435,Tabell2[[#This Row],[Inntekt]]))</f>
        <v>365100</v>
      </c>
      <c r="V300" s="7">
        <f>IF(Tabell2[[#This Row],[NIBR11-T]]&lt;=L$437,100,IF(Tabell2[[#This Row],[NIBR11-T]]&gt;=L$436,0,100*(L$436-Tabell2[[#This Row],[NIBR11-T]])/L$439))</f>
        <v>10</v>
      </c>
      <c r="W300" s="7">
        <f>(M$436-Tabell2[[#This Row],[ReisetidOslo-T]])*100/M$439</f>
        <v>0.5806215723685032</v>
      </c>
      <c r="X300" s="7">
        <f>100-(N$436-Tabell2[[#This Row],[Beftettland-T]])*100/N$439</f>
        <v>4.2723911214725945</v>
      </c>
      <c r="Y300" s="7">
        <f>100-(O$436-Tabell2[[#This Row],[Beftettotal-T]])*100/O$439</f>
        <v>4.1908522826539212</v>
      </c>
      <c r="Z300" s="7">
        <f>100-(P$436-Tabell2[[#This Row],[Befvekst10-T]])*100/P$439</f>
        <v>89.261213953453264</v>
      </c>
      <c r="AA300" s="7">
        <f>100-(Q$436-Tabell2[[#This Row],[Kvinneandel-T]])*100/Q$439</f>
        <v>68.336437411742764</v>
      </c>
      <c r="AB300" s="7">
        <f>(R$436-Tabell2[[#This Row],[Eldreandel-T]])*100/R$439</f>
        <v>46.551435590843447</v>
      </c>
      <c r="AC300" s="7">
        <f>100-(S$436-Tabell2[[#This Row],[Sysselsettingsvekst10-T]])*100/S$439</f>
        <v>100</v>
      </c>
      <c r="AD300" s="7">
        <f>100-(T$436-Tabell2[[#This Row],[Yrkesaktivandel-T]])*100/T$439</f>
        <v>57.465159673316364</v>
      </c>
      <c r="AE300" s="7">
        <f>100-(U$436-Tabell2[[#This Row],[Inntekt-T]])*100/U$439</f>
        <v>23.349509084753407</v>
      </c>
      <c r="AF300" s="7">
        <v>2</v>
      </c>
      <c r="AG300" s="7">
        <v>5.806215723685032E-2</v>
      </c>
      <c r="AH300" s="7">
        <v>0.41908522826539213</v>
      </c>
      <c r="AI300" s="7">
        <v>17.852242790690653</v>
      </c>
      <c r="AJ300" s="7">
        <v>3.4168218705871385</v>
      </c>
      <c r="AK300" s="7">
        <v>2.3275717795421724</v>
      </c>
      <c r="AL300" s="7">
        <v>10</v>
      </c>
      <c r="AM300" s="7">
        <v>5.7465159673316366</v>
      </c>
      <c r="AN300" s="7">
        <v>2.3349509084753408</v>
      </c>
      <c r="AO30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44.155250702129187</v>
      </c>
    </row>
    <row r="301" spans="1:41" x14ac:dyDescent="0.3">
      <c r="A301" s="2" t="s">
        <v>298</v>
      </c>
      <c r="B301">
        <f>'Rådata-K'!N300</f>
        <v>10</v>
      </c>
      <c r="C301" s="7">
        <f>'Rådata-K'!M300</f>
        <v>303.64999999999998</v>
      </c>
      <c r="D301" s="24">
        <f>'Rådata-K'!O300</f>
        <v>20.883376849434288</v>
      </c>
      <c r="E301" s="24">
        <f>'Rådata-K'!P300</f>
        <v>19.937681761528872</v>
      </c>
      <c r="F301" s="24">
        <f>'Rådata-K'!Q300</f>
        <v>0.18231091401823107</v>
      </c>
      <c r="G301" s="24">
        <f>'Rådata-K'!R300</f>
        <v>0.12544280058345489</v>
      </c>
      <c r="H301" s="24">
        <f>'Rådata-K'!S300</f>
        <v>0.15253177745363616</v>
      </c>
      <c r="I301" s="24">
        <f>'Rådata-K'!T300</f>
        <v>0.4227642276422765</v>
      </c>
      <c r="J301" s="24">
        <f>'Rådata-K'!U300</f>
        <v>0.86308068459657705</v>
      </c>
      <c r="K301" s="24">
        <f>'Rådata-K'!L300</f>
        <v>416000</v>
      </c>
      <c r="L301" s="24">
        <f>Tabell2[[#This Row],[NIBR11]]</f>
        <v>10</v>
      </c>
      <c r="M301" s="24">
        <f>IF(Tabell2[[#This Row],[ReisetidOslo]]&lt;=C$434,C$434,IF(Tabell2[[#This Row],[ReisetidOslo]]&gt;=C$435,C$435,Tabell2[[#This Row],[ReisetidOslo]]))</f>
        <v>280.45666666669001</v>
      </c>
      <c r="N301" s="24">
        <f>IF(Tabell2[[#This Row],[Beftettland]]&lt;=D$434,D$434,IF(Tabell2[[#This Row],[Beftettland]]&gt;=D$435,D$435,Tabell2[[#This Row],[Beftettland]]))</f>
        <v>20.883376849434288</v>
      </c>
      <c r="O301" s="24">
        <f>IF(Tabell2[[#This Row],[Beftettotal]]&lt;=E$434,E$434,IF(Tabell2[[#This Row],[Beftettotal]]&gt;=E$435,E$435,Tabell2[[#This Row],[Beftettotal]]))</f>
        <v>19.937681761528872</v>
      </c>
      <c r="P301" s="24">
        <f>IF(Tabell2[[#This Row],[Befvekst10]]&lt;=F$434,F$434,IF(Tabell2[[#This Row],[Befvekst10]]&gt;=F$435,F$435,Tabell2[[#This Row],[Befvekst10]]))</f>
        <v>0.17599648151968622</v>
      </c>
      <c r="Q301" s="24">
        <f>IF(Tabell2[[#This Row],[Kvinneandel]]&lt;=G$434,G$434,IF(Tabell2[[#This Row],[Kvinneandel]]&gt;=G$435,G$435,Tabell2[[#This Row],[Kvinneandel]]))</f>
        <v>0.12544280058345489</v>
      </c>
      <c r="R301" s="24">
        <f>IF(Tabell2[[#This Row],[Eldreandel]]&lt;=H$434,H$434,IF(Tabell2[[#This Row],[Eldreandel]]&gt;=H$435,H$435,Tabell2[[#This Row],[Eldreandel]]))</f>
        <v>0.15253177745363616</v>
      </c>
      <c r="S301" s="24">
        <f>IF(Tabell2[[#This Row],[Sysselsettingsvekst10]]&lt;=I$434,I$434,IF(Tabell2[[#This Row],[Sysselsettingsvekst10]]&gt;=I$435,I$435,Tabell2[[#This Row],[Sysselsettingsvekst10]]))</f>
        <v>0.21384805931725109</v>
      </c>
      <c r="T301" s="24">
        <f>IF(Tabell2[[#This Row],[Yrkesaktivandel]]&lt;=J$434,J$434,IF(Tabell2[[#This Row],[Yrkesaktivandel]]&gt;=J$435,J$435,Tabell2[[#This Row],[Yrkesaktivandel]]))</f>
        <v>0.86308068459657705</v>
      </c>
      <c r="U301" s="24">
        <f>IF(Tabell2[[#This Row],[Inntekt]]&lt;=K$434,K$434,IF(Tabell2[[#This Row],[Inntekt]]&gt;=K$435,K$435,Tabell2[[#This Row],[Inntekt]]))</f>
        <v>416000</v>
      </c>
      <c r="V301" s="7">
        <f>IF(Tabell2[[#This Row],[NIBR11-T]]&lt;=L$437,100,IF(Tabell2[[#This Row],[NIBR11-T]]&gt;=L$436,0,100*(L$436-Tabell2[[#This Row],[NIBR11-T]])/L$439))</f>
        <v>10</v>
      </c>
      <c r="W301" s="7">
        <f>(M$436-Tabell2[[#This Row],[ReisetidOslo-T]])*100/M$439</f>
        <v>0</v>
      </c>
      <c r="X301" s="7">
        <f>100-(N$436-Tabell2[[#This Row],[Beftettland-T]])*100/N$439</f>
        <v>14.410046194879129</v>
      </c>
      <c r="Y301" s="7">
        <f>100-(O$436-Tabell2[[#This Row],[Beftettotal-T]])*100/O$439</f>
        <v>14.252174062451274</v>
      </c>
      <c r="Z301" s="7">
        <f>100-(P$436-Tabell2[[#This Row],[Befvekst10-T]])*100/P$439</f>
        <v>100</v>
      </c>
      <c r="AA301" s="7">
        <f>100-(Q$436-Tabell2[[#This Row],[Kvinneandel-T]])*100/Q$439</f>
        <v>94.366331757808084</v>
      </c>
      <c r="AB301" s="7">
        <f>(R$436-Tabell2[[#This Row],[Eldreandel-T]])*100/R$439</f>
        <v>73.170437545493897</v>
      </c>
      <c r="AC301" s="7">
        <f>100-(S$436-Tabell2[[#This Row],[Sysselsettingsvekst10-T]])*100/S$439</f>
        <v>100</v>
      </c>
      <c r="AD301" s="7">
        <f>100-(T$436-Tabell2[[#This Row],[Yrkesaktivandel-T]])*100/T$439</f>
        <v>45.277337379007271</v>
      </c>
      <c r="AE301" s="7">
        <f>100-(U$436-Tabell2[[#This Row],[Inntekt-T]])*100/U$439</f>
        <v>80.792235639318363</v>
      </c>
      <c r="AF301" s="7">
        <v>2</v>
      </c>
      <c r="AG301" s="7">
        <v>0</v>
      </c>
      <c r="AH301" s="7">
        <v>1.4252174062451275</v>
      </c>
      <c r="AI301" s="7">
        <v>20</v>
      </c>
      <c r="AJ301" s="7">
        <v>4.7183165878904045</v>
      </c>
      <c r="AK301" s="7">
        <v>3.658521877274695</v>
      </c>
      <c r="AL301" s="7">
        <v>10</v>
      </c>
      <c r="AM301" s="7">
        <v>4.5277337379007276</v>
      </c>
      <c r="AN301" s="7">
        <v>8.079223563931837</v>
      </c>
      <c r="AO30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54.409013173242784</v>
      </c>
    </row>
    <row r="302" spans="1:41" x14ac:dyDescent="0.3">
      <c r="A302" s="2" t="s">
        <v>299</v>
      </c>
      <c r="B302">
        <f>'Rådata-K'!N301</f>
        <v>10</v>
      </c>
      <c r="C302" s="7">
        <f>'Rådata-K'!M301</f>
        <v>275.8</v>
      </c>
      <c r="D302" s="24">
        <f>'Rådata-K'!O301</f>
        <v>71.268299356957172</v>
      </c>
      <c r="E302" s="24">
        <f>'Rådata-K'!P301</f>
        <v>71.180650450942878</v>
      </c>
      <c r="F302" s="24">
        <f>'Rådata-K'!Q301</f>
        <v>1.8775669861138322E-2</v>
      </c>
      <c r="G302" s="24">
        <f>'Rådata-K'!R301</f>
        <v>0.11192167402572471</v>
      </c>
      <c r="H302" s="24">
        <f>'Rådata-K'!S301</f>
        <v>0.16797849875215973</v>
      </c>
      <c r="I302" s="24">
        <f>'Rådata-K'!T301</f>
        <v>5.1681706316653031E-2</v>
      </c>
      <c r="J302" s="24">
        <f>'Rådata-K'!U301</f>
        <v>0.83581103402708956</v>
      </c>
      <c r="K302" s="24">
        <f>'Rådata-K'!L301</f>
        <v>380000</v>
      </c>
      <c r="L302" s="24">
        <f>Tabell2[[#This Row],[NIBR11]]</f>
        <v>10</v>
      </c>
      <c r="M302" s="24">
        <f>IF(Tabell2[[#This Row],[ReisetidOslo]]&lt;=C$434,C$434,IF(Tabell2[[#This Row],[ReisetidOslo]]&gt;=C$435,C$435,Tabell2[[#This Row],[ReisetidOslo]]))</f>
        <v>275.8</v>
      </c>
      <c r="N302" s="24">
        <f>IF(Tabell2[[#This Row],[Beftettland]]&lt;=D$434,D$434,IF(Tabell2[[#This Row],[Beftettland]]&gt;=D$435,D$435,Tabell2[[#This Row],[Beftettland]]))</f>
        <v>71.268299356957172</v>
      </c>
      <c r="O302" s="24">
        <f>IF(Tabell2[[#This Row],[Beftettotal]]&lt;=E$434,E$434,IF(Tabell2[[#This Row],[Beftettotal]]&gt;=E$435,E$435,Tabell2[[#This Row],[Beftettotal]]))</f>
        <v>71.180650450942878</v>
      </c>
      <c r="P302" s="24">
        <f>IF(Tabell2[[#This Row],[Befvekst10]]&lt;=F$434,F$434,IF(Tabell2[[#This Row],[Befvekst10]]&gt;=F$435,F$435,Tabell2[[#This Row],[Befvekst10]]))</f>
        <v>1.8775669861138322E-2</v>
      </c>
      <c r="Q302" s="24">
        <f>IF(Tabell2[[#This Row],[Kvinneandel]]&lt;=G$434,G$434,IF(Tabell2[[#This Row],[Kvinneandel]]&gt;=G$435,G$435,Tabell2[[#This Row],[Kvinneandel]]))</f>
        <v>0.11192167402572471</v>
      </c>
      <c r="R302" s="24">
        <f>IF(Tabell2[[#This Row],[Eldreandel]]&lt;=H$434,H$434,IF(Tabell2[[#This Row],[Eldreandel]]&gt;=H$435,H$435,Tabell2[[#This Row],[Eldreandel]]))</f>
        <v>0.16797849875215973</v>
      </c>
      <c r="S302" s="24">
        <f>IF(Tabell2[[#This Row],[Sysselsettingsvekst10]]&lt;=I$434,I$434,IF(Tabell2[[#This Row],[Sysselsettingsvekst10]]&gt;=I$435,I$435,Tabell2[[#This Row],[Sysselsettingsvekst10]]))</f>
        <v>5.1681706316653031E-2</v>
      </c>
      <c r="T302" s="24">
        <f>IF(Tabell2[[#This Row],[Yrkesaktivandel]]&lt;=J$434,J$434,IF(Tabell2[[#This Row],[Yrkesaktivandel]]&gt;=J$435,J$435,Tabell2[[#This Row],[Yrkesaktivandel]]))</f>
        <v>0.83581103402708956</v>
      </c>
      <c r="U302" s="24">
        <f>IF(Tabell2[[#This Row],[Inntekt]]&lt;=K$434,K$434,IF(Tabell2[[#This Row],[Inntekt]]&gt;=K$435,K$435,Tabell2[[#This Row],[Inntekt]]))</f>
        <v>380000</v>
      </c>
      <c r="V302" s="7">
        <f>IF(Tabell2[[#This Row],[NIBR11-T]]&lt;=L$437,100,IF(Tabell2[[#This Row],[NIBR11-T]]&gt;=L$436,0,100*(L$436-Tabell2[[#This Row],[NIBR11-T]])/L$439))</f>
        <v>10</v>
      </c>
      <c r="W302" s="7">
        <f>(M$436-Tabell2[[#This Row],[ReisetidOslo-T]])*100/M$439</f>
        <v>2.0431444241416554</v>
      </c>
      <c r="X302" s="7">
        <f>100-(N$436-Tabell2[[#This Row],[Beftettland-T]])*100/N$439</f>
        <v>51.679962010603163</v>
      </c>
      <c r="Y302" s="7">
        <f>100-(O$436-Tabell2[[#This Row],[Beftettotal-T]])*100/O$439</f>
        <v>53.475518506161272</v>
      </c>
      <c r="Z302" s="7">
        <f>100-(P$436-Tabell2[[#This Row],[Befvekst10-T]])*100/P$439</f>
        <v>36.363138919287209</v>
      </c>
      <c r="AA302" s="7">
        <f>100-(Q$436-Tabell2[[#This Row],[Kvinneandel-T]])*100/Q$439</f>
        <v>58.845612004345732</v>
      </c>
      <c r="AB302" s="7">
        <f>(R$436-Tabell2[[#This Row],[Eldreandel-T]])*100/R$439</f>
        <v>56.499488916931362</v>
      </c>
      <c r="AC302" s="7">
        <f>100-(S$436-Tabell2[[#This Row],[Sysselsettingsvekst10-T]])*100/S$439</f>
        <v>47.076799745702317</v>
      </c>
      <c r="AD302" s="7">
        <f>100-(T$436-Tabell2[[#This Row],[Yrkesaktivandel-T]])*100/T$439</f>
        <v>26.044221292430208</v>
      </c>
      <c r="AE302" s="7">
        <f>100-(U$436-Tabell2[[#This Row],[Inntekt-T]])*100/U$439</f>
        <v>40.164766956325472</v>
      </c>
      <c r="AF302" s="7">
        <v>2</v>
      </c>
      <c r="AG302" s="7">
        <v>0.20431444241416555</v>
      </c>
      <c r="AH302" s="7">
        <v>5.3475518506161279</v>
      </c>
      <c r="AI302" s="7">
        <v>7.272627783857442</v>
      </c>
      <c r="AJ302" s="7">
        <v>2.9422806002172868</v>
      </c>
      <c r="AK302" s="7">
        <v>2.8249744458465682</v>
      </c>
      <c r="AL302" s="7">
        <v>4.7076799745702322</v>
      </c>
      <c r="AM302" s="7">
        <v>2.6044221292430212</v>
      </c>
      <c r="AN302" s="7">
        <v>4.0164766956325471</v>
      </c>
      <c r="AO30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31.920327922397391</v>
      </c>
    </row>
    <row r="303" spans="1:41" x14ac:dyDescent="0.3">
      <c r="A303" s="2" t="s">
        <v>300</v>
      </c>
      <c r="B303">
        <f>'Rådata-K'!N302</f>
        <v>5</v>
      </c>
      <c r="C303" s="7">
        <f>'Rådata-K'!M302</f>
        <v>235.45</v>
      </c>
      <c r="D303" s="24">
        <f>'Rådata-K'!O302</f>
        <v>5.8448566610455313</v>
      </c>
      <c r="E303" s="24">
        <f>'Rådata-K'!P302</f>
        <v>5.4622246036498883</v>
      </c>
      <c r="F303" s="24">
        <f>'Rådata-K'!Q302</f>
        <v>-2.5857223159078124E-2</v>
      </c>
      <c r="G303" s="24">
        <f>'Rådata-K'!R302</f>
        <v>8.5401038661281015E-2</v>
      </c>
      <c r="H303" s="24">
        <f>'Rådata-K'!S302</f>
        <v>0.22792844777841892</v>
      </c>
      <c r="I303" s="24">
        <f>'Rådata-K'!T302</f>
        <v>-0.12676056338028174</v>
      </c>
      <c r="J303" s="24">
        <f>'Rådata-K'!U302</f>
        <v>0.89536138079827399</v>
      </c>
      <c r="K303" s="24">
        <f>'Rådata-K'!L302</f>
        <v>349100</v>
      </c>
      <c r="L303" s="24">
        <f>Tabell2[[#This Row],[NIBR11]]</f>
        <v>5</v>
      </c>
      <c r="M303" s="24">
        <f>IF(Tabell2[[#This Row],[ReisetidOslo]]&lt;=C$434,C$434,IF(Tabell2[[#This Row],[ReisetidOslo]]&gt;=C$435,C$435,Tabell2[[#This Row],[ReisetidOslo]]))</f>
        <v>235.45</v>
      </c>
      <c r="N303" s="24">
        <f>IF(Tabell2[[#This Row],[Beftettland]]&lt;=D$434,D$434,IF(Tabell2[[#This Row],[Beftettland]]&gt;=D$435,D$435,Tabell2[[#This Row],[Beftettland]]))</f>
        <v>5.8448566610455313</v>
      </c>
      <c r="O303" s="24">
        <f>IF(Tabell2[[#This Row],[Beftettotal]]&lt;=E$434,E$434,IF(Tabell2[[#This Row],[Beftettotal]]&gt;=E$435,E$435,Tabell2[[#This Row],[Beftettotal]]))</f>
        <v>5.4622246036498883</v>
      </c>
      <c r="P303" s="24">
        <f>IF(Tabell2[[#This Row],[Befvekst10]]&lt;=F$434,F$434,IF(Tabell2[[#This Row],[Befvekst10]]&gt;=F$435,F$435,Tabell2[[#This Row],[Befvekst10]]))</f>
        <v>-2.5857223159078124E-2</v>
      </c>
      <c r="Q303" s="24">
        <f>IF(Tabell2[[#This Row],[Kvinneandel]]&lt;=G$434,G$434,IF(Tabell2[[#This Row],[Kvinneandel]]&gt;=G$435,G$435,Tabell2[[#This Row],[Kvinneandel]]))</f>
        <v>8.9521819157910881E-2</v>
      </c>
      <c r="R303" s="24">
        <f>IF(Tabell2[[#This Row],[Eldreandel]]&lt;=H$434,H$434,IF(Tabell2[[#This Row],[Eldreandel]]&gt;=H$435,H$435,Tabell2[[#This Row],[Eldreandel]]))</f>
        <v>0.22032896051974013</v>
      </c>
      <c r="S303" s="24">
        <f>IF(Tabell2[[#This Row],[Sysselsettingsvekst10]]&lt;=I$434,I$434,IF(Tabell2[[#This Row],[Sysselsettingsvekst10]]&gt;=I$435,I$435,Tabell2[[#This Row],[Sysselsettingsvekst10]]))</f>
        <v>-9.2570207570207563E-2</v>
      </c>
      <c r="T303" s="24">
        <f>IF(Tabell2[[#This Row],[Yrkesaktivandel]]&lt;=J$434,J$434,IF(Tabell2[[#This Row],[Yrkesaktivandel]]&gt;=J$435,J$435,Tabell2[[#This Row],[Yrkesaktivandel]]))</f>
        <v>0.89536138079827399</v>
      </c>
      <c r="U303" s="24">
        <f>IF(Tabell2[[#This Row],[Inntekt]]&lt;=K$434,K$434,IF(Tabell2[[#This Row],[Inntekt]]&gt;=K$435,K$435,Tabell2[[#This Row],[Inntekt]]))</f>
        <v>349100</v>
      </c>
      <c r="V303" s="7">
        <f>IF(Tabell2[[#This Row],[NIBR11-T]]&lt;=L$437,100,IF(Tabell2[[#This Row],[NIBR11-T]]&gt;=L$436,0,100*(L$436-Tabell2[[#This Row],[NIBR11-T]])/L$439))</f>
        <v>60</v>
      </c>
      <c r="W303" s="7">
        <f>(M$436-Tabell2[[#This Row],[ReisetidOslo-T]])*100/M$439</f>
        <v>19.74698354662614</v>
      </c>
      <c r="X303" s="7">
        <f>100-(N$436-Tabell2[[#This Row],[Beftettland-T]])*100/N$439</f>
        <v>3.2859965085740441</v>
      </c>
      <c r="Y303" s="7">
        <f>100-(O$436-Tabell2[[#This Row],[Beftettotal-T]])*100/O$439</f>
        <v>3.1721009010977639</v>
      </c>
      <c r="Z303" s="7">
        <f>100-(P$436-Tabell2[[#This Row],[Befvekst10-T]])*100/P$439</f>
        <v>18.297482198684691</v>
      </c>
      <c r="AA303" s="7">
        <f>100-(Q$436-Tabell2[[#This Row],[Kvinneandel-T]])*100/Q$439</f>
        <v>0</v>
      </c>
      <c r="AB303" s="7">
        <f>(R$436-Tabell2[[#This Row],[Eldreandel-T]])*100/R$439</f>
        <v>0</v>
      </c>
      <c r="AC303" s="7">
        <f>100-(S$436-Tabell2[[#This Row],[Sysselsettingsvekst10-T]])*100/S$439</f>
        <v>0</v>
      </c>
      <c r="AD303" s="7">
        <f>100-(T$436-Tabell2[[#This Row],[Yrkesaktivandel-T]])*100/T$439</f>
        <v>68.044712993913549</v>
      </c>
      <c r="AE303" s="7">
        <f>100-(U$436-Tabell2[[#This Row],[Inntekt-T]])*100/U$439</f>
        <v>5.2928563367565715</v>
      </c>
      <c r="AF303" s="7">
        <v>12</v>
      </c>
      <c r="AG303" s="7">
        <v>1.974698354662614</v>
      </c>
      <c r="AH303" s="7">
        <v>0.31721009010977641</v>
      </c>
      <c r="AI303" s="7">
        <v>3.6594964397369383</v>
      </c>
      <c r="AJ303" s="7">
        <v>0</v>
      </c>
      <c r="AK303" s="7">
        <v>0</v>
      </c>
      <c r="AL303" s="7">
        <v>0</v>
      </c>
      <c r="AM303" s="7">
        <v>6.8044712993913556</v>
      </c>
      <c r="AN303" s="7">
        <v>0.52928563367565717</v>
      </c>
      <c r="AO30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25.285161817576341</v>
      </c>
    </row>
    <row r="304" spans="1:41" x14ac:dyDescent="0.3">
      <c r="A304" s="2" t="s">
        <v>301</v>
      </c>
      <c r="B304">
        <f>'Rådata-K'!N303</f>
        <v>2</v>
      </c>
      <c r="C304" s="7">
        <f>'Rådata-K'!M303</f>
        <v>239.8333333333</v>
      </c>
      <c r="D304" s="24">
        <f>'Rådata-K'!O303</f>
        <v>11.302202942927616</v>
      </c>
      <c r="E304" s="24">
        <f>'Rådata-K'!P303</f>
        <v>10.793599220209568</v>
      </c>
      <c r="F304" s="24">
        <f>'Rådata-K'!Q303</f>
        <v>3.5374785725416968E-2</v>
      </c>
      <c r="G304" s="24">
        <f>'Rådata-K'!R303</f>
        <v>0.10174593618302227</v>
      </c>
      <c r="H304" s="24">
        <f>'Rådata-K'!S303</f>
        <v>0.17895845875978325</v>
      </c>
      <c r="I304" s="24">
        <f>'Rådata-K'!T303</f>
        <v>-3.4429992348891103E-3</v>
      </c>
      <c r="J304" s="24">
        <f>'Rådata-K'!U303</f>
        <v>0.82844733984799135</v>
      </c>
      <c r="K304" s="24">
        <f>'Rådata-K'!L303</f>
        <v>358400</v>
      </c>
      <c r="L304" s="24">
        <f>Tabell2[[#This Row],[NIBR11]]</f>
        <v>2</v>
      </c>
      <c r="M304" s="24">
        <f>IF(Tabell2[[#This Row],[ReisetidOslo]]&lt;=C$434,C$434,IF(Tabell2[[#This Row],[ReisetidOslo]]&gt;=C$435,C$435,Tabell2[[#This Row],[ReisetidOslo]]))</f>
        <v>239.8333333333</v>
      </c>
      <c r="N304" s="24">
        <f>IF(Tabell2[[#This Row],[Beftettland]]&lt;=D$434,D$434,IF(Tabell2[[#This Row],[Beftettland]]&gt;=D$435,D$435,Tabell2[[#This Row],[Beftettland]]))</f>
        <v>11.302202942927616</v>
      </c>
      <c r="O304" s="24">
        <f>IF(Tabell2[[#This Row],[Beftettotal]]&lt;=E$434,E$434,IF(Tabell2[[#This Row],[Beftettotal]]&gt;=E$435,E$435,Tabell2[[#This Row],[Beftettotal]]))</f>
        <v>10.793599220209568</v>
      </c>
      <c r="P304" s="24">
        <f>IF(Tabell2[[#This Row],[Befvekst10]]&lt;=F$434,F$434,IF(Tabell2[[#This Row],[Befvekst10]]&gt;=F$435,F$435,Tabell2[[#This Row],[Befvekst10]]))</f>
        <v>3.5374785725416968E-2</v>
      </c>
      <c r="Q304" s="24">
        <f>IF(Tabell2[[#This Row],[Kvinneandel]]&lt;=G$434,G$434,IF(Tabell2[[#This Row],[Kvinneandel]]&gt;=G$435,G$435,Tabell2[[#This Row],[Kvinneandel]]))</f>
        <v>0.10174593618302227</v>
      </c>
      <c r="R304" s="24">
        <f>IF(Tabell2[[#This Row],[Eldreandel]]&lt;=H$434,H$434,IF(Tabell2[[#This Row],[Eldreandel]]&gt;=H$435,H$435,Tabell2[[#This Row],[Eldreandel]]))</f>
        <v>0.17895845875978325</v>
      </c>
      <c r="S304" s="24">
        <f>IF(Tabell2[[#This Row],[Sysselsettingsvekst10]]&lt;=I$434,I$434,IF(Tabell2[[#This Row],[Sysselsettingsvekst10]]&gt;=I$435,I$435,Tabell2[[#This Row],[Sysselsettingsvekst10]]))</f>
        <v>-3.4429992348891103E-3</v>
      </c>
      <c r="T304" s="24">
        <f>IF(Tabell2[[#This Row],[Yrkesaktivandel]]&lt;=J$434,J$434,IF(Tabell2[[#This Row],[Yrkesaktivandel]]&gt;=J$435,J$435,Tabell2[[#This Row],[Yrkesaktivandel]]))</f>
        <v>0.82844733984799135</v>
      </c>
      <c r="U304" s="24">
        <f>IF(Tabell2[[#This Row],[Inntekt]]&lt;=K$434,K$434,IF(Tabell2[[#This Row],[Inntekt]]&gt;=K$435,K$435,Tabell2[[#This Row],[Inntekt]]))</f>
        <v>358400</v>
      </c>
      <c r="V304" s="7">
        <f>IF(Tabell2[[#This Row],[NIBR11-T]]&lt;=L$437,100,IF(Tabell2[[#This Row],[NIBR11-T]]&gt;=L$436,0,100*(L$436-Tabell2[[#This Row],[NIBR11-T]])/L$439))</f>
        <v>90</v>
      </c>
      <c r="W304" s="7">
        <f>(M$436-Tabell2[[#This Row],[ReisetidOslo-T]])*100/M$439</f>
        <v>17.823765996366735</v>
      </c>
      <c r="X304" s="7">
        <f>100-(N$436-Tabell2[[#This Row],[Beftettland-T]])*100/N$439</f>
        <v>7.3228159851274057</v>
      </c>
      <c r="Y304" s="7">
        <f>100-(O$436-Tabell2[[#This Row],[Beftettotal-T]])*100/O$439</f>
        <v>7.2529406395450877</v>
      </c>
      <c r="Z304" s="7">
        <f>100-(P$436-Tabell2[[#This Row],[Befvekst10-T]])*100/P$439</f>
        <v>43.081814514295985</v>
      </c>
      <c r="AA304" s="7">
        <f>100-(Q$436-Tabell2[[#This Row],[Kvinneandel-T]])*100/Q$439</f>
        <v>32.113406618050433</v>
      </c>
      <c r="AB304" s="7">
        <f>(R$436-Tabell2[[#This Row],[Eldreandel-T]])*100/R$439</f>
        <v>44.64931400322596</v>
      </c>
      <c r="AC304" s="7">
        <f>100-(S$436-Tabell2[[#This Row],[Sysselsettingsvekst10-T]])*100/S$439</f>
        <v>29.086780380509467</v>
      </c>
      <c r="AD304" s="7">
        <f>100-(T$436-Tabell2[[#This Row],[Yrkesaktivandel-T]])*100/T$439</f>
        <v>20.850653277623422</v>
      </c>
      <c r="AE304" s="7">
        <f>100-(U$436-Tabell2[[#This Row],[Inntekt-T]])*100/U$439</f>
        <v>15.788285746529738</v>
      </c>
      <c r="AF304" s="7">
        <v>18</v>
      </c>
      <c r="AG304" s="7">
        <v>1.7823765996366736</v>
      </c>
      <c r="AH304" s="7">
        <v>0.72529406395450879</v>
      </c>
      <c r="AI304" s="7">
        <v>8.6163629028591977</v>
      </c>
      <c r="AJ304" s="7">
        <v>1.6056703309025218</v>
      </c>
      <c r="AK304" s="7">
        <v>2.2324657001612982</v>
      </c>
      <c r="AL304" s="7">
        <v>2.9086780380509469</v>
      </c>
      <c r="AM304" s="7">
        <v>2.0850653277623423</v>
      </c>
      <c r="AN304" s="7">
        <v>1.5788285746529738</v>
      </c>
      <c r="AO30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39.534741537980459</v>
      </c>
    </row>
    <row r="305" spans="1:41" x14ac:dyDescent="0.3">
      <c r="A305" s="2" t="s">
        <v>302</v>
      </c>
      <c r="B305">
        <f>'Rådata-K'!N304</f>
        <v>10</v>
      </c>
      <c r="C305" s="7">
        <f>'Rådata-K'!M304</f>
        <v>272.35000000000002</v>
      </c>
      <c r="D305" s="24">
        <f>'Rådata-K'!O304</f>
        <v>13.430570778180593</v>
      </c>
      <c r="E305" s="24">
        <f>'Rådata-K'!P304</f>
        <v>12.451797811360084</v>
      </c>
      <c r="F305" s="24">
        <f>'Rådata-K'!Q304</f>
        <v>3.1290461804057035E-2</v>
      </c>
      <c r="G305" s="24">
        <f>'Rådata-K'!R304</f>
        <v>0.10546139359698682</v>
      </c>
      <c r="H305" s="24">
        <f>'Rådata-K'!S304</f>
        <v>0.18267419962335216</v>
      </c>
      <c r="I305" s="24">
        <f>'Rådata-K'!T304</f>
        <v>0.10334346504559266</v>
      </c>
      <c r="J305" s="24">
        <f>'Rådata-K'!U304</f>
        <v>0.83761996161228403</v>
      </c>
      <c r="K305" s="24">
        <f>'Rådata-K'!L304</f>
        <v>363600</v>
      </c>
      <c r="L305" s="24">
        <f>Tabell2[[#This Row],[NIBR11]]</f>
        <v>10</v>
      </c>
      <c r="M305" s="24">
        <f>IF(Tabell2[[#This Row],[ReisetidOslo]]&lt;=C$434,C$434,IF(Tabell2[[#This Row],[ReisetidOslo]]&gt;=C$435,C$435,Tabell2[[#This Row],[ReisetidOslo]]))</f>
        <v>272.35000000000002</v>
      </c>
      <c r="N305" s="24">
        <f>IF(Tabell2[[#This Row],[Beftettland]]&lt;=D$434,D$434,IF(Tabell2[[#This Row],[Beftettland]]&gt;=D$435,D$435,Tabell2[[#This Row],[Beftettland]]))</f>
        <v>13.430570778180593</v>
      </c>
      <c r="O305" s="24">
        <f>IF(Tabell2[[#This Row],[Beftettotal]]&lt;=E$434,E$434,IF(Tabell2[[#This Row],[Beftettotal]]&gt;=E$435,E$435,Tabell2[[#This Row],[Beftettotal]]))</f>
        <v>12.451797811360084</v>
      </c>
      <c r="P305" s="24">
        <f>IF(Tabell2[[#This Row],[Befvekst10]]&lt;=F$434,F$434,IF(Tabell2[[#This Row],[Befvekst10]]&gt;=F$435,F$435,Tabell2[[#This Row],[Befvekst10]]))</f>
        <v>3.1290461804057035E-2</v>
      </c>
      <c r="Q305" s="24">
        <f>IF(Tabell2[[#This Row],[Kvinneandel]]&lt;=G$434,G$434,IF(Tabell2[[#This Row],[Kvinneandel]]&gt;=G$435,G$435,Tabell2[[#This Row],[Kvinneandel]]))</f>
        <v>0.10546139359698682</v>
      </c>
      <c r="R305" s="24">
        <f>IF(Tabell2[[#This Row],[Eldreandel]]&lt;=H$434,H$434,IF(Tabell2[[#This Row],[Eldreandel]]&gt;=H$435,H$435,Tabell2[[#This Row],[Eldreandel]]))</f>
        <v>0.18267419962335216</v>
      </c>
      <c r="S305" s="24">
        <f>IF(Tabell2[[#This Row],[Sysselsettingsvekst10]]&lt;=I$434,I$434,IF(Tabell2[[#This Row],[Sysselsettingsvekst10]]&gt;=I$435,I$435,Tabell2[[#This Row],[Sysselsettingsvekst10]]))</f>
        <v>0.10334346504559266</v>
      </c>
      <c r="T305" s="24">
        <f>IF(Tabell2[[#This Row],[Yrkesaktivandel]]&lt;=J$434,J$434,IF(Tabell2[[#This Row],[Yrkesaktivandel]]&gt;=J$435,J$435,Tabell2[[#This Row],[Yrkesaktivandel]]))</f>
        <v>0.83761996161228403</v>
      </c>
      <c r="U305" s="24">
        <f>IF(Tabell2[[#This Row],[Inntekt]]&lt;=K$434,K$434,IF(Tabell2[[#This Row],[Inntekt]]&gt;=K$435,K$435,Tabell2[[#This Row],[Inntekt]]))</f>
        <v>363600</v>
      </c>
      <c r="V305" s="7">
        <f>IF(Tabell2[[#This Row],[NIBR11-T]]&lt;=L$437,100,IF(Tabell2[[#This Row],[NIBR11-T]]&gt;=L$436,0,100*(L$436-Tabell2[[#This Row],[NIBR11-T]])/L$439))</f>
        <v>10</v>
      </c>
      <c r="W305" s="7">
        <f>(M$436-Tabell2[[#This Row],[ReisetidOslo-T]])*100/M$439</f>
        <v>3.5568555758782412</v>
      </c>
      <c r="X305" s="7">
        <f>100-(N$436-Tabell2[[#This Row],[Beftettland-T]])*100/N$439</f>
        <v>8.8971776412940784</v>
      </c>
      <c r="Y305" s="7">
        <f>100-(O$436-Tabell2[[#This Row],[Beftettotal-T]])*100/O$439</f>
        <v>8.5221897904087314</v>
      </c>
      <c r="Z305" s="7">
        <f>100-(P$436-Tabell2[[#This Row],[Befvekst10-T]])*100/P$439</f>
        <v>41.428639268281515</v>
      </c>
      <c r="AA305" s="7">
        <f>100-(Q$436-Tabell2[[#This Row],[Kvinneandel-T]])*100/Q$439</f>
        <v>41.874111171319093</v>
      </c>
      <c r="AB305" s="7">
        <f>(R$436-Tabell2[[#This Row],[Eldreandel-T]])*100/R$439</f>
        <v>40.639082714885916</v>
      </c>
      <c r="AC305" s="7">
        <f>100-(S$436-Tabell2[[#This Row],[Sysselsettingsvekst10-T]])*100/S$439</f>
        <v>63.936681910597528</v>
      </c>
      <c r="AD305" s="7">
        <f>100-(T$436-Tabell2[[#This Row],[Yrkesaktivandel-T]])*100/T$439</f>
        <v>27.32004674349723</v>
      </c>
      <c r="AE305" s="7">
        <f>100-(U$436-Tabell2[[#This Row],[Inntekt-T]])*100/U$439</f>
        <v>21.656697889628717</v>
      </c>
      <c r="AF305" s="7">
        <v>2</v>
      </c>
      <c r="AG305" s="7">
        <v>0.35568555758782416</v>
      </c>
      <c r="AH305" s="7">
        <v>0.85221897904087318</v>
      </c>
      <c r="AI305" s="7">
        <v>8.2857278536563026</v>
      </c>
      <c r="AJ305" s="7">
        <v>2.0937055585659547</v>
      </c>
      <c r="AK305" s="7">
        <v>2.0319541357442961</v>
      </c>
      <c r="AL305" s="7">
        <v>6.3936681910597528</v>
      </c>
      <c r="AM305" s="7">
        <v>2.7320046743497231</v>
      </c>
      <c r="AN305" s="7">
        <v>2.1656697889628718</v>
      </c>
      <c r="AO30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26.910634738967602</v>
      </c>
    </row>
    <row r="306" spans="1:41" x14ac:dyDescent="0.3">
      <c r="A306" s="2" t="s">
        <v>303</v>
      </c>
      <c r="B306">
        <f>'Rådata-K'!N305</f>
        <v>11</v>
      </c>
      <c r="C306" s="7">
        <f>'Rådata-K'!M305</f>
        <v>269.8</v>
      </c>
      <c r="D306" s="24">
        <f>'Rådata-K'!O305</f>
        <v>3.6547633674757338</v>
      </c>
      <c r="E306" s="24">
        <f>'Rådata-K'!P305</f>
        <v>3.4273982360212014</v>
      </c>
      <c r="F306" s="24">
        <f>'Rådata-K'!Q305</f>
        <v>-1.2971342383107043E-2</v>
      </c>
      <c r="G306" s="24">
        <f>'Rådata-K'!R305</f>
        <v>8.557457212713937E-2</v>
      </c>
      <c r="H306" s="24">
        <f>'Rådata-K'!S305</f>
        <v>0.2062958435207824</v>
      </c>
      <c r="I306" s="24">
        <f>'Rådata-K'!T305</f>
        <v>7.0761014686248291E-2</v>
      </c>
      <c r="J306" s="24">
        <f>'Rådata-K'!U305</f>
        <v>0.9240292628024761</v>
      </c>
      <c r="K306" s="24">
        <f>'Rådata-K'!L305</f>
        <v>374000</v>
      </c>
      <c r="L306" s="24">
        <f>Tabell2[[#This Row],[NIBR11]]</f>
        <v>11</v>
      </c>
      <c r="M306" s="24">
        <f>IF(Tabell2[[#This Row],[ReisetidOslo]]&lt;=C$434,C$434,IF(Tabell2[[#This Row],[ReisetidOslo]]&gt;=C$435,C$435,Tabell2[[#This Row],[ReisetidOslo]]))</f>
        <v>269.8</v>
      </c>
      <c r="N306" s="24">
        <f>IF(Tabell2[[#This Row],[Beftettland]]&lt;=D$434,D$434,IF(Tabell2[[#This Row],[Beftettland]]&gt;=D$435,D$435,Tabell2[[#This Row],[Beftettland]]))</f>
        <v>3.6547633674757338</v>
      </c>
      <c r="O306" s="24">
        <f>IF(Tabell2[[#This Row],[Beftettotal]]&lt;=E$434,E$434,IF(Tabell2[[#This Row],[Beftettotal]]&gt;=E$435,E$435,Tabell2[[#This Row],[Beftettotal]]))</f>
        <v>3.4273982360212014</v>
      </c>
      <c r="P306" s="24">
        <f>IF(Tabell2[[#This Row],[Befvekst10]]&lt;=F$434,F$434,IF(Tabell2[[#This Row],[Befvekst10]]&gt;=F$435,F$435,Tabell2[[#This Row],[Befvekst10]]))</f>
        <v>-1.2971342383107043E-2</v>
      </c>
      <c r="Q306" s="24">
        <f>IF(Tabell2[[#This Row],[Kvinneandel]]&lt;=G$434,G$434,IF(Tabell2[[#This Row],[Kvinneandel]]&gt;=G$435,G$435,Tabell2[[#This Row],[Kvinneandel]]))</f>
        <v>8.9521819157910881E-2</v>
      </c>
      <c r="R306" s="24">
        <f>IF(Tabell2[[#This Row],[Eldreandel]]&lt;=H$434,H$434,IF(Tabell2[[#This Row],[Eldreandel]]&gt;=H$435,H$435,Tabell2[[#This Row],[Eldreandel]]))</f>
        <v>0.2062958435207824</v>
      </c>
      <c r="S306" s="24">
        <f>IF(Tabell2[[#This Row],[Sysselsettingsvekst10]]&lt;=I$434,I$434,IF(Tabell2[[#This Row],[Sysselsettingsvekst10]]&gt;=I$435,I$435,Tabell2[[#This Row],[Sysselsettingsvekst10]]))</f>
        <v>7.0761014686248291E-2</v>
      </c>
      <c r="T306" s="24">
        <f>IF(Tabell2[[#This Row],[Yrkesaktivandel]]&lt;=J$434,J$434,IF(Tabell2[[#This Row],[Yrkesaktivandel]]&gt;=J$435,J$435,Tabell2[[#This Row],[Yrkesaktivandel]]))</f>
        <v>0.9240292628024761</v>
      </c>
      <c r="U306" s="24">
        <f>IF(Tabell2[[#This Row],[Inntekt]]&lt;=K$434,K$434,IF(Tabell2[[#This Row],[Inntekt]]&gt;=K$435,K$435,Tabell2[[#This Row],[Inntekt]]))</f>
        <v>374000</v>
      </c>
      <c r="V306" s="7">
        <f>IF(Tabell2[[#This Row],[NIBR11-T]]&lt;=L$437,100,IF(Tabell2[[#This Row],[NIBR11-T]]&gt;=L$436,0,100*(L$436-Tabell2[[#This Row],[NIBR11-T]])/L$439))</f>
        <v>0</v>
      </c>
      <c r="W306" s="7">
        <f>(M$436-Tabell2[[#This Row],[ReisetidOslo-T]])*100/M$439</f>
        <v>4.6756855575965961</v>
      </c>
      <c r="X306" s="7">
        <f>100-(N$436-Tabell2[[#This Row],[Beftettland-T]])*100/N$439</f>
        <v>1.6659762997955028</v>
      </c>
      <c r="Y306" s="7">
        <f>100-(O$436-Tabell2[[#This Row],[Beftettotal-T]])*100/O$439</f>
        <v>1.6145663252929836</v>
      </c>
      <c r="Z306" s="7">
        <f>100-(P$436-Tabell2[[#This Row],[Befvekst10-T]])*100/P$439</f>
        <v>23.513184854030413</v>
      </c>
      <c r="AA306" s="7">
        <f>100-(Q$436-Tabell2[[#This Row],[Kvinneandel-T]])*100/Q$439</f>
        <v>0</v>
      </c>
      <c r="AB306" s="7">
        <f>(R$436-Tabell2[[#This Row],[Eldreandel-T]])*100/R$439</f>
        <v>15.145309355105219</v>
      </c>
      <c r="AC306" s="7">
        <f>100-(S$436-Tabell2[[#This Row],[Sysselsettingsvekst10-T]])*100/S$439</f>
        <v>53.30335685125592</v>
      </c>
      <c r="AD306" s="7">
        <f>100-(T$436-Tabell2[[#This Row],[Yrkesaktivandel-T]])*100/T$439</f>
        <v>88.263993073727036</v>
      </c>
      <c r="AE306" s="7">
        <f>100-(U$436-Tabell2[[#This Row],[Inntekt-T]])*100/U$439</f>
        <v>33.393522175826661</v>
      </c>
      <c r="AF306" s="7">
        <v>0</v>
      </c>
      <c r="AG306" s="7">
        <v>0.46756855575965961</v>
      </c>
      <c r="AH306" s="7">
        <v>0.16145663252929837</v>
      </c>
      <c r="AI306" s="7">
        <v>4.7026369708060827</v>
      </c>
      <c r="AJ306" s="7">
        <v>0</v>
      </c>
      <c r="AK306" s="7">
        <v>0.75726546775526105</v>
      </c>
      <c r="AL306" s="7">
        <v>5.3303356851255925</v>
      </c>
      <c r="AM306" s="7">
        <v>8.8263993073727036</v>
      </c>
      <c r="AN306" s="7">
        <v>3.3393522175826664</v>
      </c>
      <c r="AO30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23.585014836931265</v>
      </c>
    </row>
    <row r="307" spans="1:41" x14ac:dyDescent="0.3">
      <c r="A307" s="2" t="s">
        <v>304</v>
      </c>
      <c r="B307">
        <f>'Rådata-K'!N306</f>
        <v>11</v>
      </c>
      <c r="C307" s="7">
        <f>'Rådata-K'!M306</f>
        <v>309.05</v>
      </c>
      <c r="D307" s="24">
        <f>'Rådata-K'!O306</f>
        <v>2.7057465439085506</v>
      </c>
      <c r="E307" s="24">
        <f>'Rådata-K'!P306</f>
        <v>2.5651291906897291</v>
      </c>
      <c r="F307" s="24">
        <f>'Rådata-K'!Q306</f>
        <v>-9.8499061913696062E-2</v>
      </c>
      <c r="G307" s="24">
        <f>'Rådata-K'!R306</f>
        <v>9.3652445369406867E-2</v>
      </c>
      <c r="H307" s="24">
        <f>'Rådata-K'!S306</f>
        <v>0.22892819979188345</v>
      </c>
      <c r="I307" s="24">
        <f>'Rådata-K'!T306</f>
        <v>5.0602409638554224E-2</v>
      </c>
      <c r="J307" s="24">
        <f>'Rådata-K'!U306</f>
        <v>0.95192307692307687</v>
      </c>
      <c r="K307" s="24">
        <f>'Rådata-K'!L306</f>
        <v>337200</v>
      </c>
      <c r="L307" s="24">
        <f>Tabell2[[#This Row],[NIBR11]]</f>
        <v>11</v>
      </c>
      <c r="M307" s="24">
        <f>IF(Tabell2[[#This Row],[ReisetidOslo]]&lt;=C$434,C$434,IF(Tabell2[[#This Row],[ReisetidOslo]]&gt;=C$435,C$435,Tabell2[[#This Row],[ReisetidOslo]]))</f>
        <v>280.45666666669001</v>
      </c>
      <c r="N307" s="24">
        <f>IF(Tabell2[[#This Row],[Beftettland]]&lt;=D$434,D$434,IF(Tabell2[[#This Row],[Beftettland]]&gt;=D$435,D$435,Tabell2[[#This Row],[Beftettland]]))</f>
        <v>2.7057465439085506</v>
      </c>
      <c r="O307" s="24">
        <f>IF(Tabell2[[#This Row],[Beftettotal]]&lt;=E$434,E$434,IF(Tabell2[[#This Row],[Beftettotal]]&gt;=E$435,E$435,Tabell2[[#This Row],[Beftettotal]]))</f>
        <v>2.5651291906897291</v>
      </c>
      <c r="P307" s="24">
        <f>IF(Tabell2[[#This Row],[Befvekst10]]&lt;=F$434,F$434,IF(Tabell2[[#This Row],[Befvekst10]]&gt;=F$435,F$435,Tabell2[[#This Row],[Befvekst10]]))</f>
        <v>-7.1062862685144085E-2</v>
      </c>
      <c r="Q307" s="24">
        <f>IF(Tabell2[[#This Row],[Kvinneandel]]&lt;=G$434,G$434,IF(Tabell2[[#This Row],[Kvinneandel]]&gt;=G$435,G$435,Tabell2[[#This Row],[Kvinneandel]]))</f>
        <v>9.3652445369406867E-2</v>
      </c>
      <c r="R307" s="24">
        <f>IF(Tabell2[[#This Row],[Eldreandel]]&lt;=H$434,H$434,IF(Tabell2[[#This Row],[Eldreandel]]&gt;=H$435,H$435,Tabell2[[#This Row],[Eldreandel]]))</f>
        <v>0.22032896051974013</v>
      </c>
      <c r="S307" s="24">
        <f>IF(Tabell2[[#This Row],[Sysselsettingsvekst10]]&lt;=I$434,I$434,IF(Tabell2[[#This Row],[Sysselsettingsvekst10]]&gt;=I$435,I$435,Tabell2[[#This Row],[Sysselsettingsvekst10]]))</f>
        <v>5.0602409638554224E-2</v>
      </c>
      <c r="T307" s="24">
        <f>IF(Tabell2[[#This Row],[Yrkesaktivandel]]&lt;=J$434,J$434,IF(Tabell2[[#This Row],[Yrkesaktivandel]]&gt;=J$435,J$435,Tabell2[[#This Row],[Yrkesaktivandel]]))</f>
        <v>0.94066914614326791</v>
      </c>
      <c r="U307" s="24">
        <f>IF(Tabell2[[#This Row],[Inntekt]]&lt;=K$434,K$434,IF(Tabell2[[#This Row],[Inntekt]]&gt;=K$435,K$435,Tabell2[[#This Row],[Inntekt]]))</f>
        <v>344410</v>
      </c>
      <c r="V307" s="7">
        <f>IF(Tabell2[[#This Row],[NIBR11-T]]&lt;=L$437,100,IF(Tabell2[[#This Row],[NIBR11-T]]&gt;=L$436,0,100*(L$436-Tabell2[[#This Row],[NIBR11-T]])/L$439))</f>
        <v>0</v>
      </c>
      <c r="W307" s="7">
        <f>(M$436-Tabell2[[#This Row],[ReisetidOslo-T]])*100/M$439</f>
        <v>0</v>
      </c>
      <c r="X307" s="7">
        <f>100-(N$436-Tabell2[[#This Row],[Beftettland-T]])*100/N$439</f>
        <v>0.96398500236375639</v>
      </c>
      <c r="Y307" s="7">
        <f>100-(O$436-Tabell2[[#This Row],[Beftettotal-T]])*100/O$439</f>
        <v>0.95455234419100066</v>
      </c>
      <c r="Z307" s="7">
        <f>100-(P$436-Tabell2[[#This Row],[Befvekst10-T]])*100/P$439</f>
        <v>0</v>
      </c>
      <c r="AA307" s="7">
        <f>100-(Q$436-Tabell2[[#This Row],[Kvinneandel-T]])*100/Q$439</f>
        <v>10.8513751009136</v>
      </c>
      <c r="AB307" s="7">
        <f>(R$436-Tabell2[[#This Row],[Eldreandel-T]])*100/R$439</f>
        <v>0</v>
      </c>
      <c r="AC307" s="7">
        <f>100-(S$436-Tabell2[[#This Row],[Sysselsettingsvekst10-T]])*100/S$439</f>
        <v>46.72456987081199</v>
      </c>
      <c r="AD307" s="7">
        <f>100-(T$436-Tabell2[[#This Row],[Yrkesaktivandel-T]])*100/T$439</f>
        <v>100</v>
      </c>
      <c r="AE307" s="7">
        <f>100-(U$436-Tabell2[[#This Row],[Inntekt-T]])*100/U$439</f>
        <v>0</v>
      </c>
      <c r="AF307" s="7">
        <v>0</v>
      </c>
      <c r="AG307" s="7">
        <v>0</v>
      </c>
      <c r="AH307" s="7">
        <v>9.5455234419100074E-2</v>
      </c>
      <c r="AI307" s="7">
        <v>0</v>
      </c>
      <c r="AJ307" s="7">
        <v>0.54256875504568003</v>
      </c>
      <c r="AK307" s="7">
        <v>0</v>
      </c>
      <c r="AL307" s="7">
        <v>4.6724569870811994</v>
      </c>
      <c r="AM307" s="7">
        <v>10</v>
      </c>
      <c r="AN307" s="7">
        <v>0</v>
      </c>
      <c r="AO30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15.310480976545978</v>
      </c>
    </row>
    <row r="308" spans="1:41" x14ac:dyDescent="0.3">
      <c r="A308" s="2" t="s">
        <v>305</v>
      </c>
      <c r="B308">
        <f>'Rådata-K'!N307</f>
        <v>11</v>
      </c>
      <c r="C308" s="7">
        <f>'Rådata-K'!M307</f>
        <v>273.14999999999998</v>
      </c>
      <c r="D308" s="24">
        <f>'Rådata-K'!O307</f>
        <v>2.640049771430117</v>
      </c>
      <c r="E308" s="24">
        <f>'Rådata-K'!P307</f>
        <v>2.5208564713175088</v>
      </c>
      <c r="F308" s="24">
        <f>'Rådata-K'!Q307</f>
        <v>-7.8375826251180336E-2</v>
      </c>
      <c r="G308" s="24">
        <f>'Rådata-K'!R307</f>
        <v>8.1967213114754092E-2</v>
      </c>
      <c r="H308" s="24">
        <f>'Rådata-K'!S307</f>
        <v>0.2530737704918033</v>
      </c>
      <c r="I308" s="24">
        <f>'Rådata-K'!T307</f>
        <v>-0.1348837209302326</v>
      </c>
      <c r="J308" s="24">
        <f>'Rådata-K'!U307</f>
        <v>0.9038854805725971</v>
      </c>
      <c r="K308" s="24">
        <f>'Rådata-K'!L307</f>
        <v>347600</v>
      </c>
      <c r="L308" s="24">
        <f>Tabell2[[#This Row],[NIBR11]]</f>
        <v>11</v>
      </c>
      <c r="M308" s="24">
        <f>IF(Tabell2[[#This Row],[ReisetidOslo]]&lt;=C$434,C$434,IF(Tabell2[[#This Row],[ReisetidOslo]]&gt;=C$435,C$435,Tabell2[[#This Row],[ReisetidOslo]]))</f>
        <v>273.14999999999998</v>
      </c>
      <c r="N308" s="24">
        <f>IF(Tabell2[[#This Row],[Beftettland]]&lt;=D$434,D$434,IF(Tabell2[[#This Row],[Beftettland]]&gt;=D$435,D$435,Tabell2[[#This Row],[Beftettland]]))</f>
        <v>2.640049771430117</v>
      </c>
      <c r="O308" s="24">
        <f>IF(Tabell2[[#This Row],[Beftettotal]]&lt;=E$434,E$434,IF(Tabell2[[#This Row],[Beftettotal]]&gt;=E$435,E$435,Tabell2[[#This Row],[Beftettotal]]))</f>
        <v>2.5208564713175088</v>
      </c>
      <c r="P308" s="24">
        <f>IF(Tabell2[[#This Row],[Befvekst10]]&lt;=F$434,F$434,IF(Tabell2[[#This Row],[Befvekst10]]&gt;=F$435,F$435,Tabell2[[#This Row],[Befvekst10]]))</f>
        <v>-7.1062862685144085E-2</v>
      </c>
      <c r="Q308" s="24">
        <f>IF(Tabell2[[#This Row],[Kvinneandel]]&lt;=G$434,G$434,IF(Tabell2[[#This Row],[Kvinneandel]]&gt;=G$435,G$435,Tabell2[[#This Row],[Kvinneandel]]))</f>
        <v>8.9521819157910881E-2</v>
      </c>
      <c r="R308" s="24">
        <f>IF(Tabell2[[#This Row],[Eldreandel]]&lt;=H$434,H$434,IF(Tabell2[[#This Row],[Eldreandel]]&gt;=H$435,H$435,Tabell2[[#This Row],[Eldreandel]]))</f>
        <v>0.22032896051974013</v>
      </c>
      <c r="S308" s="24">
        <f>IF(Tabell2[[#This Row],[Sysselsettingsvekst10]]&lt;=I$434,I$434,IF(Tabell2[[#This Row],[Sysselsettingsvekst10]]&gt;=I$435,I$435,Tabell2[[#This Row],[Sysselsettingsvekst10]]))</f>
        <v>-9.2570207570207563E-2</v>
      </c>
      <c r="T308" s="24">
        <f>IF(Tabell2[[#This Row],[Yrkesaktivandel]]&lt;=J$434,J$434,IF(Tabell2[[#This Row],[Yrkesaktivandel]]&gt;=J$435,J$435,Tabell2[[#This Row],[Yrkesaktivandel]]))</f>
        <v>0.9038854805725971</v>
      </c>
      <c r="U308" s="24">
        <f>IF(Tabell2[[#This Row],[Inntekt]]&lt;=K$434,K$434,IF(Tabell2[[#This Row],[Inntekt]]&gt;=K$435,K$435,Tabell2[[#This Row],[Inntekt]]))</f>
        <v>347600</v>
      </c>
      <c r="V308" s="7">
        <f>IF(Tabell2[[#This Row],[NIBR11-T]]&lt;=L$437,100,IF(Tabell2[[#This Row],[NIBR11-T]]&gt;=L$436,0,100*(L$436-Tabell2[[#This Row],[NIBR11-T]])/L$439))</f>
        <v>0</v>
      </c>
      <c r="W308" s="7">
        <f>(M$436-Tabell2[[#This Row],[ReisetidOslo-T]])*100/M$439</f>
        <v>3.2058500914176027</v>
      </c>
      <c r="X308" s="7">
        <f>100-(N$436-Tabell2[[#This Row],[Beftettland-T]])*100/N$439</f>
        <v>0.9153888537982624</v>
      </c>
      <c r="Y308" s="7">
        <f>100-(O$436-Tabell2[[#This Row],[Beftettotal-T]])*100/O$439</f>
        <v>0.92066429738555655</v>
      </c>
      <c r="Z308" s="7">
        <f>100-(P$436-Tabell2[[#This Row],[Befvekst10-T]])*100/P$439</f>
        <v>0</v>
      </c>
      <c r="AA308" s="7">
        <f>100-(Q$436-Tabell2[[#This Row],[Kvinneandel-T]])*100/Q$439</f>
        <v>0</v>
      </c>
      <c r="AB308" s="7">
        <f>(R$436-Tabell2[[#This Row],[Eldreandel-T]])*100/R$439</f>
        <v>0</v>
      </c>
      <c r="AC308" s="7">
        <f>100-(S$436-Tabell2[[#This Row],[Sysselsettingsvekst10-T]])*100/S$439</f>
        <v>0</v>
      </c>
      <c r="AD308" s="7">
        <f>100-(T$436-Tabell2[[#This Row],[Yrkesaktivandel-T]])*100/T$439</f>
        <v>74.056707906549605</v>
      </c>
      <c r="AE308" s="7">
        <f>100-(U$436-Tabell2[[#This Row],[Inntekt-T]])*100/U$439</f>
        <v>3.6000451416318668</v>
      </c>
      <c r="AF308" s="7">
        <v>0</v>
      </c>
      <c r="AG308" s="7">
        <v>0.3205850091417603</v>
      </c>
      <c r="AH308" s="7">
        <v>9.2066429738555666E-2</v>
      </c>
      <c r="AI308" s="7">
        <v>0</v>
      </c>
      <c r="AJ308" s="7">
        <v>0</v>
      </c>
      <c r="AK308" s="7">
        <v>0</v>
      </c>
      <c r="AL308" s="7">
        <v>0</v>
      </c>
      <c r="AM308" s="7">
        <v>7.4056707906549608</v>
      </c>
      <c r="AN308" s="7">
        <v>0.36000451416318668</v>
      </c>
      <c r="AO30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8.178326743698463</v>
      </c>
    </row>
    <row r="309" spans="1:41" x14ac:dyDescent="0.3">
      <c r="A309" s="2" t="s">
        <v>306</v>
      </c>
      <c r="B309">
        <f>'Rådata-K'!N308</f>
        <v>9</v>
      </c>
      <c r="C309" s="7">
        <f>'Rådata-K'!M308</f>
        <v>267.93333333300001</v>
      </c>
      <c r="D309" s="24">
        <f>'Rådata-K'!O308</f>
        <v>3.127853155334293</v>
      </c>
      <c r="E309" s="24">
        <f>'Rådata-K'!P308</f>
        <v>3.0279977661590687</v>
      </c>
      <c r="F309" s="24">
        <f>'Rådata-K'!Q308</f>
        <v>5.954762271118641E-2</v>
      </c>
      <c r="G309" s="24">
        <f>'Rådata-K'!R308</f>
        <v>0.10470519895440024</v>
      </c>
      <c r="H309" s="24">
        <f>'Rådata-K'!S308</f>
        <v>0.17993029334882371</v>
      </c>
      <c r="I309" s="24">
        <f>'Rådata-K'!T308</f>
        <v>1.3517862890247923E-2</v>
      </c>
      <c r="J309" s="24">
        <f>'Rådata-K'!U308</f>
        <v>0.896154852210306</v>
      </c>
      <c r="K309" s="24">
        <f>'Rådata-K'!L308</f>
        <v>362900</v>
      </c>
      <c r="L309" s="24">
        <f>Tabell2[[#This Row],[NIBR11]]</f>
        <v>9</v>
      </c>
      <c r="M309" s="24">
        <f>IF(Tabell2[[#This Row],[ReisetidOslo]]&lt;=C$434,C$434,IF(Tabell2[[#This Row],[ReisetidOslo]]&gt;=C$435,C$435,Tabell2[[#This Row],[ReisetidOslo]]))</f>
        <v>267.93333333300001</v>
      </c>
      <c r="N309" s="24">
        <f>IF(Tabell2[[#This Row],[Beftettland]]&lt;=D$434,D$434,IF(Tabell2[[#This Row],[Beftettland]]&gt;=D$435,D$435,Tabell2[[#This Row],[Beftettland]]))</f>
        <v>3.127853155334293</v>
      </c>
      <c r="O309" s="24">
        <f>IF(Tabell2[[#This Row],[Beftettotal]]&lt;=E$434,E$434,IF(Tabell2[[#This Row],[Beftettotal]]&gt;=E$435,E$435,Tabell2[[#This Row],[Beftettotal]]))</f>
        <v>3.0279977661590687</v>
      </c>
      <c r="P309" s="24">
        <f>IF(Tabell2[[#This Row],[Befvekst10]]&lt;=F$434,F$434,IF(Tabell2[[#This Row],[Befvekst10]]&gt;=F$435,F$435,Tabell2[[#This Row],[Befvekst10]]))</f>
        <v>5.954762271118641E-2</v>
      </c>
      <c r="Q309" s="24">
        <f>IF(Tabell2[[#This Row],[Kvinneandel]]&lt;=G$434,G$434,IF(Tabell2[[#This Row],[Kvinneandel]]&gt;=G$435,G$435,Tabell2[[#This Row],[Kvinneandel]]))</f>
        <v>0.10470519895440024</v>
      </c>
      <c r="R309" s="24">
        <f>IF(Tabell2[[#This Row],[Eldreandel]]&lt;=H$434,H$434,IF(Tabell2[[#This Row],[Eldreandel]]&gt;=H$435,H$435,Tabell2[[#This Row],[Eldreandel]]))</f>
        <v>0.17993029334882371</v>
      </c>
      <c r="S309" s="24">
        <f>IF(Tabell2[[#This Row],[Sysselsettingsvekst10]]&lt;=I$434,I$434,IF(Tabell2[[#This Row],[Sysselsettingsvekst10]]&gt;=I$435,I$435,Tabell2[[#This Row],[Sysselsettingsvekst10]]))</f>
        <v>1.3517862890247923E-2</v>
      </c>
      <c r="T309" s="24">
        <f>IF(Tabell2[[#This Row],[Yrkesaktivandel]]&lt;=J$434,J$434,IF(Tabell2[[#This Row],[Yrkesaktivandel]]&gt;=J$435,J$435,Tabell2[[#This Row],[Yrkesaktivandel]]))</f>
        <v>0.896154852210306</v>
      </c>
      <c r="U309" s="24">
        <f>IF(Tabell2[[#This Row],[Inntekt]]&lt;=K$434,K$434,IF(Tabell2[[#This Row],[Inntekt]]&gt;=K$435,K$435,Tabell2[[#This Row],[Inntekt]]))</f>
        <v>362900</v>
      </c>
      <c r="V309" s="7">
        <f>IF(Tabell2[[#This Row],[NIBR11-T]]&lt;=L$437,100,IF(Tabell2[[#This Row],[NIBR11-T]]&gt;=L$436,0,100*(L$436-Tabell2[[#This Row],[NIBR11-T]])/L$439))</f>
        <v>20</v>
      </c>
      <c r="W309" s="7">
        <f>(M$436-Tabell2[[#This Row],[ReisetidOslo-T]])*100/M$439</f>
        <v>5.4946983548177206</v>
      </c>
      <c r="X309" s="7">
        <f>100-(N$436-Tabell2[[#This Row],[Beftettland-T]])*100/N$439</f>
        <v>1.276218843166987</v>
      </c>
      <c r="Y309" s="7">
        <f>100-(O$436-Tabell2[[#This Row],[Beftettotal-T]])*100/O$439</f>
        <v>1.3088498025963418</v>
      </c>
      <c r="Z309" s="7">
        <f>100-(P$436-Tabell2[[#This Row],[Befvekst10-T]])*100/P$439</f>
        <v>52.866037435946893</v>
      </c>
      <c r="AA309" s="7">
        <f>100-(Q$436-Tabell2[[#This Row],[Kvinneandel-T]])*100/Q$439</f>
        <v>39.887547561866661</v>
      </c>
      <c r="AB309" s="7">
        <f>(R$436-Tabell2[[#This Row],[Eldreandel-T]])*100/R$439</f>
        <v>43.600456825301599</v>
      </c>
      <c r="AC309" s="7">
        <f>100-(S$436-Tabell2[[#This Row],[Sysselsettingsvekst10-T]])*100/S$439</f>
        <v>34.621979798423553</v>
      </c>
      <c r="AD309" s="7">
        <f>100-(T$436-Tabell2[[#This Row],[Yrkesaktivandel-T]])*100/T$439</f>
        <v>68.604343479097238</v>
      </c>
      <c r="AE309" s="7">
        <f>100-(U$436-Tabell2[[#This Row],[Inntekt-T]])*100/U$439</f>
        <v>20.866719331903852</v>
      </c>
      <c r="AF309" s="7">
        <v>4</v>
      </c>
      <c r="AG309" s="7">
        <v>0.54946983548177208</v>
      </c>
      <c r="AH309" s="7">
        <v>0.13088498025963419</v>
      </c>
      <c r="AI309" s="7">
        <v>10.573207487189379</v>
      </c>
      <c r="AJ309" s="7">
        <v>1.9943773780933332</v>
      </c>
      <c r="AK309" s="7">
        <v>2.1800228412650799</v>
      </c>
      <c r="AL309" s="7">
        <v>3.4621979798423554</v>
      </c>
      <c r="AM309" s="7">
        <v>6.8604343479097238</v>
      </c>
      <c r="AN309" s="7">
        <v>2.0866719331903854</v>
      </c>
      <c r="AO30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31.837266783231662</v>
      </c>
    </row>
    <row r="310" spans="1:41" x14ac:dyDescent="0.3">
      <c r="A310" s="2" t="s">
        <v>307</v>
      </c>
      <c r="B310">
        <f>'Rådata-K'!N309</f>
        <v>5</v>
      </c>
      <c r="C310" s="7">
        <f>'Rådata-K'!M309</f>
        <v>243.05</v>
      </c>
      <c r="D310" s="24">
        <f>'Rådata-K'!O309</f>
        <v>2.7694003956286277</v>
      </c>
      <c r="E310" s="24">
        <f>'Rådata-K'!P309</f>
        <v>2.7026171714294756</v>
      </c>
      <c r="F310" s="24">
        <f>'Rådata-K'!Q309</f>
        <v>-3.4300791556728272E-2</v>
      </c>
      <c r="G310" s="24">
        <f>'Rådata-K'!R309</f>
        <v>9.0944574551131932E-2</v>
      </c>
      <c r="H310" s="24">
        <f>'Rådata-K'!S309</f>
        <v>0.21545667447306791</v>
      </c>
      <c r="I310" s="24">
        <f>'Rådata-K'!T309</f>
        <v>-8.2352941176470629E-2</v>
      </c>
      <c r="J310" s="24">
        <f>'Rådata-K'!U309</f>
        <v>0.93977695167286246</v>
      </c>
      <c r="K310" s="24">
        <f>'Rådata-K'!L309</f>
        <v>344900</v>
      </c>
      <c r="L310" s="24">
        <f>Tabell2[[#This Row],[NIBR11]]</f>
        <v>5</v>
      </c>
      <c r="M310" s="24">
        <f>IF(Tabell2[[#This Row],[ReisetidOslo]]&lt;=C$434,C$434,IF(Tabell2[[#This Row],[ReisetidOslo]]&gt;=C$435,C$435,Tabell2[[#This Row],[ReisetidOslo]]))</f>
        <v>243.05</v>
      </c>
      <c r="N310" s="24">
        <f>IF(Tabell2[[#This Row],[Beftettland]]&lt;=D$434,D$434,IF(Tabell2[[#This Row],[Beftettland]]&gt;=D$435,D$435,Tabell2[[#This Row],[Beftettland]]))</f>
        <v>2.7694003956286277</v>
      </c>
      <c r="O310" s="24">
        <f>IF(Tabell2[[#This Row],[Beftettotal]]&lt;=E$434,E$434,IF(Tabell2[[#This Row],[Beftettotal]]&gt;=E$435,E$435,Tabell2[[#This Row],[Beftettotal]]))</f>
        <v>2.7026171714294756</v>
      </c>
      <c r="P310" s="24">
        <f>IF(Tabell2[[#This Row],[Befvekst10]]&lt;=F$434,F$434,IF(Tabell2[[#This Row],[Befvekst10]]&gt;=F$435,F$435,Tabell2[[#This Row],[Befvekst10]]))</f>
        <v>-3.4300791556728272E-2</v>
      </c>
      <c r="Q310" s="24">
        <f>IF(Tabell2[[#This Row],[Kvinneandel]]&lt;=G$434,G$434,IF(Tabell2[[#This Row],[Kvinneandel]]&gt;=G$435,G$435,Tabell2[[#This Row],[Kvinneandel]]))</f>
        <v>9.0944574551131932E-2</v>
      </c>
      <c r="R310" s="24">
        <f>IF(Tabell2[[#This Row],[Eldreandel]]&lt;=H$434,H$434,IF(Tabell2[[#This Row],[Eldreandel]]&gt;=H$435,H$435,Tabell2[[#This Row],[Eldreandel]]))</f>
        <v>0.21545667447306791</v>
      </c>
      <c r="S310" s="24">
        <f>IF(Tabell2[[#This Row],[Sysselsettingsvekst10]]&lt;=I$434,I$434,IF(Tabell2[[#This Row],[Sysselsettingsvekst10]]&gt;=I$435,I$435,Tabell2[[#This Row],[Sysselsettingsvekst10]]))</f>
        <v>-8.2352941176470629E-2</v>
      </c>
      <c r="T310" s="24">
        <f>IF(Tabell2[[#This Row],[Yrkesaktivandel]]&lt;=J$434,J$434,IF(Tabell2[[#This Row],[Yrkesaktivandel]]&gt;=J$435,J$435,Tabell2[[#This Row],[Yrkesaktivandel]]))</f>
        <v>0.93977695167286246</v>
      </c>
      <c r="U310" s="24">
        <f>IF(Tabell2[[#This Row],[Inntekt]]&lt;=K$434,K$434,IF(Tabell2[[#This Row],[Inntekt]]&gt;=K$435,K$435,Tabell2[[#This Row],[Inntekt]]))</f>
        <v>344900</v>
      </c>
      <c r="V310" s="7">
        <f>IF(Tabell2[[#This Row],[NIBR11-T]]&lt;=L$437,100,IF(Tabell2[[#This Row],[NIBR11-T]]&gt;=L$436,0,100*(L$436-Tabell2[[#This Row],[NIBR11-T]])/L$439))</f>
        <v>60</v>
      </c>
      <c r="W310" s="7">
        <f>(M$436-Tabell2[[#This Row],[ReisetidOslo-T]])*100/M$439</f>
        <v>16.412431444249872</v>
      </c>
      <c r="X310" s="7">
        <f>100-(N$436-Tabell2[[#This Row],[Beftettland-T]])*100/N$439</f>
        <v>1.0110699947957471</v>
      </c>
      <c r="Y310" s="7">
        <f>100-(O$436-Tabell2[[#This Row],[Beftettotal-T]])*100/O$439</f>
        <v>1.0597909469368858</v>
      </c>
      <c r="Z310" s="7">
        <f>100-(P$436-Tabell2[[#This Row],[Befvekst10-T]])*100/P$439</f>
        <v>14.879854573700058</v>
      </c>
      <c r="AA310" s="7">
        <f>100-(Q$436-Tabell2[[#This Row],[Kvinneandel-T]])*100/Q$439</f>
        <v>3.7376542098438819</v>
      </c>
      <c r="AB310" s="7">
        <f>(R$436-Tabell2[[#This Row],[Eldreandel-T]])*100/R$439</f>
        <v>5.258438267770031</v>
      </c>
      <c r="AC310" s="7">
        <f>100-(S$436-Tabell2[[#This Row],[Sysselsettingsvekst10-T]])*100/S$439</f>
        <v>3.3344181786295195</v>
      </c>
      <c r="AD310" s="7">
        <f>100-(T$436-Tabell2[[#This Row],[Yrkesaktivandel-T]])*100/T$439</f>
        <v>99.370740751613795</v>
      </c>
      <c r="AE310" s="7">
        <f>100-(U$436-Tabell2[[#This Row],[Inntekt-T]])*100/U$439</f>
        <v>0.55298499040740978</v>
      </c>
      <c r="AF310" s="7">
        <v>12</v>
      </c>
      <c r="AG310" s="7">
        <v>1.6412431444249873</v>
      </c>
      <c r="AH310" s="7">
        <v>0.10597909469368859</v>
      </c>
      <c r="AI310" s="7">
        <v>2.975970914740012</v>
      </c>
      <c r="AJ310" s="7">
        <v>0.1868827104921941</v>
      </c>
      <c r="AK310" s="7">
        <v>0.26292191338850157</v>
      </c>
      <c r="AL310" s="7">
        <v>0.33344181786295196</v>
      </c>
      <c r="AM310" s="7">
        <v>9.9370740751613802</v>
      </c>
      <c r="AN310" s="7">
        <v>5.5298499040740981E-2</v>
      </c>
      <c r="AO31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27.498812169804459</v>
      </c>
    </row>
    <row r="311" spans="1:41" x14ac:dyDescent="0.3">
      <c r="A311" s="2" t="s">
        <v>308</v>
      </c>
      <c r="B311">
        <f>'Rådata-K'!N310</f>
        <v>5</v>
      </c>
      <c r="C311" s="7">
        <f>'Rådata-K'!M310</f>
        <v>237.76666666670002</v>
      </c>
      <c r="D311" s="24">
        <f>'Rådata-K'!O310</f>
        <v>6.6724041917683383</v>
      </c>
      <c r="E311" s="24">
        <f>'Rådata-K'!P310</f>
        <v>6.4466690579450221</v>
      </c>
      <c r="F311" s="24">
        <f>'Rådata-K'!Q310</f>
        <v>1.3066871637202215E-2</v>
      </c>
      <c r="G311" s="24">
        <f>'Rådata-K'!R310</f>
        <v>0.10318664643399089</v>
      </c>
      <c r="H311" s="24">
        <f>'Rådata-K'!S310</f>
        <v>0.19524532119372787</v>
      </c>
      <c r="I311" s="24">
        <f>'Rådata-K'!T310</f>
        <v>-2.1262002743484221E-2</v>
      </c>
      <c r="J311" s="24">
        <f>'Rådata-K'!U310</f>
        <v>0.85918744228993538</v>
      </c>
      <c r="K311" s="24">
        <f>'Rådata-K'!L310</f>
        <v>355700</v>
      </c>
      <c r="L311" s="24">
        <f>Tabell2[[#This Row],[NIBR11]]</f>
        <v>5</v>
      </c>
      <c r="M311" s="24">
        <f>IF(Tabell2[[#This Row],[ReisetidOslo]]&lt;=C$434,C$434,IF(Tabell2[[#This Row],[ReisetidOslo]]&gt;=C$435,C$435,Tabell2[[#This Row],[ReisetidOslo]]))</f>
        <v>237.76666666670002</v>
      </c>
      <c r="N311" s="24">
        <f>IF(Tabell2[[#This Row],[Beftettland]]&lt;=D$434,D$434,IF(Tabell2[[#This Row],[Beftettland]]&gt;=D$435,D$435,Tabell2[[#This Row],[Beftettland]]))</f>
        <v>6.6724041917683383</v>
      </c>
      <c r="O311" s="24">
        <f>IF(Tabell2[[#This Row],[Beftettotal]]&lt;=E$434,E$434,IF(Tabell2[[#This Row],[Beftettotal]]&gt;=E$435,E$435,Tabell2[[#This Row],[Beftettotal]]))</f>
        <v>6.4466690579450221</v>
      </c>
      <c r="P311" s="24">
        <f>IF(Tabell2[[#This Row],[Befvekst10]]&lt;=F$434,F$434,IF(Tabell2[[#This Row],[Befvekst10]]&gt;=F$435,F$435,Tabell2[[#This Row],[Befvekst10]]))</f>
        <v>1.3066871637202215E-2</v>
      </c>
      <c r="Q311" s="24">
        <f>IF(Tabell2[[#This Row],[Kvinneandel]]&lt;=G$434,G$434,IF(Tabell2[[#This Row],[Kvinneandel]]&gt;=G$435,G$435,Tabell2[[#This Row],[Kvinneandel]]))</f>
        <v>0.10318664643399089</v>
      </c>
      <c r="R311" s="24">
        <f>IF(Tabell2[[#This Row],[Eldreandel]]&lt;=H$434,H$434,IF(Tabell2[[#This Row],[Eldreandel]]&gt;=H$435,H$435,Tabell2[[#This Row],[Eldreandel]]))</f>
        <v>0.19524532119372787</v>
      </c>
      <c r="S311" s="24">
        <f>IF(Tabell2[[#This Row],[Sysselsettingsvekst10]]&lt;=I$434,I$434,IF(Tabell2[[#This Row],[Sysselsettingsvekst10]]&gt;=I$435,I$435,Tabell2[[#This Row],[Sysselsettingsvekst10]]))</f>
        <v>-2.1262002743484221E-2</v>
      </c>
      <c r="T311" s="24">
        <f>IF(Tabell2[[#This Row],[Yrkesaktivandel]]&lt;=J$434,J$434,IF(Tabell2[[#This Row],[Yrkesaktivandel]]&gt;=J$435,J$435,Tabell2[[#This Row],[Yrkesaktivandel]]))</f>
        <v>0.85918744228993538</v>
      </c>
      <c r="U311" s="24">
        <f>IF(Tabell2[[#This Row],[Inntekt]]&lt;=K$434,K$434,IF(Tabell2[[#This Row],[Inntekt]]&gt;=K$435,K$435,Tabell2[[#This Row],[Inntekt]]))</f>
        <v>355700</v>
      </c>
      <c r="V311" s="7">
        <f>IF(Tabell2[[#This Row],[NIBR11-T]]&lt;=L$437,100,IF(Tabell2[[#This Row],[NIBR11-T]]&gt;=L$436,0,100*(L$436-Tabell2[[#This Row],[NIBR11-T]])/L$439))</f>
        <v>60</v>
      </c>
      <c r="W311" s="7">
        <f>(M$436-Tabell2[[#This Row],[ReisetidOslo-T]])*100/M$439</f>
        <v>18.730530164527512</v>
      </c>
      <c r="X311" s="7">
        <f>100-(N$436-Tabell2[[#This Row],[Beftettland-T]])*100/N$439</f>
        <v>3.8981365153180292</v>
      </c>
      <c r="Y311" s="7">
        <f>100-(O$436-Tabell2[[#This Row],[Beftettotal-T]])*100/O$439</f>
        <v>3.9256326519718101</v>
      </c>
      <c r="Z311" s="7">
        <f>100-(P$436-Tabell2[[#This Row],[Befvekst10-T]])*100/P$439</f>
        <v>34.052439746054134</v>
      </c>
      <c r="AA311" s="7">
        <f>100-(Q$436-Tabell2[[#This Row],[Kvinneandel-T]])*100/Q$439</f>
        <v>35.898229195673551</v>
      </c>
      <c r="AB311" s="7">
        <f>(R$436-Tabell2[[#This Row],[Eldreandel-T]])*100/R$439</f>
        <v>27.071638993144191</v>
      </c>
      <c r="AC311" s="7">
        <f>100-(S$436-Tabell2[[#This Row],[Sysselsettingsvekst10-T]])*100/S$439</f>
        <v>23.271525405798812</v>
      </c>
      <c r="AD311" s="7">
        <f>100-(T$436-Tabell2[[#This Row],[Yrkesaktivandel-T]])*100/T$439</f>
        <v>42.531457630896519</v>
      </c>
      <c r="AE311" s="7">
        <f>100-(U$436-Tabell2[[#This Row],[Inntekt-T]])*100/U$439</f>
        <v>12.741225595305266</v>
      </c>
      <c r="AF311" s="7">
        <v>12</v>
      </c>
      <c r="AG311" s="7">
        <v>1.8730530164527512</v>
      </c>
      <c r="AH311" s="7">
        <v>0.39256326519718104</v>
      </c>
      <c r="AI311" s="7">
        <v>6.8104879492108275</v>
      </c>
      <c r="AJ311" s="7">
        <v>1.7949114597836777</v>
      </c>
      <c r="AK311" s="7">
        <v>1.3535819496572097</v>
      </c>
      <c r="AL311" s="7">
        <v>2.3271525405798812</v>
      </c>
      <c r="AM311" s="7">
        <v>4.2531457630896519</v>
      </c>
      <c r="AN311" s="7">
        <v>1.2741225595305268</v>
      </c>
      <c r="AO31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32.0790185035017</v>
      </c>
    </row>
    <row r="312" spans="1:41" x14ac:dyDescent="0.3">
      <c r="A312" s="2" t="s">
        <v>309</v>
      </c>
      <c r="B312">
        <f>'Rådata-K'!N311</f>
        <v>5</v>
      </c>
      <c r="C312" s="7">
        <f>'Rådata-K'!M311</f>
        <v>207.45</v>
      </c>
      <c r="D312" s="24">
        <f>'Rådata-K'!O311</f>
        <v>20.874758537579527</v>
      </c>
      <c r="E312" s="24">
        <f>'Rådata-K'!P311</f>
        <v>19.819289271772785</v>
      </c>
      <c r="F312" s="24">
        <f>'Rådata-K'!Q311</f>
        <v>0.10788186606471029</v>
      </c>
      <c r="G312" s="24">
        <f>'Rådata-K'!R311</f>
        <v>0.11418626368961711</v>
      </c>
      <c r="H312" s="24">
        <f>'Rådata-K'!S311</f>
        <v>0.15705917310467782</v>
      </c>
      <c r="I312" s="24">
        <f>'Rådata-K'!T311</f>
        <v>9.1936978683966553E-2</v>
      </c>
      <c r="J312" s="24">
        <f>'Rådata-K'!U311</f>
        <v>0.85650357995226734</v>
      </c>
      <c r="K312" s="24">
        <f>'Rådata-K'!L311</f>
        <v>386300</v>
      </c>
      <c r="L312" s="24">
        <f>Tabell2[[#This Row],[NIBR11]]</f>
        <v>5</v>
      </c>
      <c r="M312" s="24">
        <f>IF(Tabell2[[#This Row],[ReisetidOslo]]&lt;=C$434,C$434,IF(Tabell2[[#This Row],[ReisetidOslo]]&gt;=C$435,C$435,Tabell2[[#This Row],[ReisetidOslo]]))</f>
        <v>207.45</v>
      </c>
      <c r="N312" s="24">
        <f>IF(Tabell2[[#This Row],[Beftettland]]&lt;=D$434,D$434,IF(Tabell2[[#This Row],[Beftettland]]&gt;=D$435,D$435,Tabell2[[#This Row],[Beftettland]]))</f>
        <v>20.874758537579527</v>
      </c>
      <c r="O312" s="24">
        <f>IF(Tabell2[[#This Row],[Beftettotal]]&lt;=E$434,E$434,IF(Tabell2[[#This Row],[Beftettotal]]&gt;=E$435,E$435,Tabell2[[#This Row],[Beftettotal]]))</f>
        <v>19.819289271772785</v>
      </c>
      <c r="P312" s="24">
        <f>IF(Tabell2[[#This Row],[Befvekst10]]&lt;=F$434,F$434,IF(Tabell2[[#This Row],[Befvekst10]]&gt;=F$435,F$435,Tabell2[[#This Row],[Befvekst10]]))</f>
        <v>0.10788186606471029</v>
      </c>
      <c r="Q312" s="24">
        <f>IF(Tabell2[[#This Row],[Kvinneandel]]&lt;=G$434,G$434,IF(Tabell2[[#This Row],[Kvinneandel]]&gt;=G$435,G$435,Tabell2[[#This Row],[Kvinneandel]]))</f>
        <v>0.11418626368961711</v>
      </c>
      <c r="R312" s="24">
        <f>IF(Tabell2[[#This Row],[Eldreandel]]&lt;=H$434,H$434,IF(Tabell2[[#This Row],[Eldreandel]]&gt;=H$435,H$435,Tabell2[[#This Row],[Eldreandel]]))</f>
        <v>0.15705917310467782</v>
      </c>
      <c r="S312" s="24">
        <f>IF(Tabell2[[#This Row],[Sysselsettingsvekst10]]&lt;=I$434,I$434,IF(Tabell2[[#This Row],[Sysselsettingsvekst10]]&gt;=I$435,I$435,Tabell2[[#This Row],[Sysselsettingsvekst10]]))</f>
        <v>9.1936978683966553E-2</v>
      </c>
      <c r="T312" s="24">
        <f>IF(Tabell2[[#This Row],[Yrkesaktivandel]]&lt;=J$434,J$434,IF(Tabell2[[#This Row],[Yrkesaktivandel]]&gt;=J$435,J$435,Tabell2[[#This Row],[Yrkesaktivandel]]))</f>
        <v>0.85650357995226734</v>
      </c>
      <c r="U312" s="24">
        <f>IF(Tabell2[[#This Row],[Inntekt]]&lt;=K$434,K$434,IF(Tabell2[[#This Row],[Inntekt]]&gt;=K$435,K$435,Tabell2[[#This Row],[Inntekt]]))</f>
        <v>386300</v>
      </c>
      <c r="V312" s="7">
        <f>IF(Tabell2[[#This Row],[NIBR11-T]]&lt;=L$437,100,IF(Tabell2[[#This Row],[NIBR11-T]]&gt;=L$436,0,100*(L$436-Tabell2[[#This Row],[NIBR11-T]])/L$439))</f>
        <v>60</v>
      </c>
      <c r="W312" s="7">
        <f>(M$436-Tabell2[[#This Row],[ReisetidOslo-T]])*100/M$439</f>
        <v>32.032175502749197</v>
      </c>
      <c r="X312" s="7">
        <f>100-(N$436-Tabell2[[#This Row],[Beftettland-T]])*100/N$439</f>
        <v>14.403671197333921</v>
      </c>
      <c r="Y312" s="7">
        <f>100-(O$436-Tabell2[[#This Row],[Beftettotal-T]])*100/O$439</f>
        <v>14.161551884930731</v>
      </c>
      <c r="Z312" s="7">
        <f>100-(P$436-Tabell2[[#This Row],[Befvekst10-T]])*100/P$439</f>
        <v>72.42985661027906</v>
      </c>
      <c r="AA312" s="7">
        <f>100-(Q$436-Tabell2[[#This Row],[Kvinneandel-T]])*100/Q$439</f>
        <v>64.79480968874438</v>
      </c>
      <c r="AB312" s="7">
        <f>(R$436-Tabell2[[#This Row],[Eldreandel-T]])*100/R$439</f>
        <v>68.284223904356537</v>
      </c>
      <c r="AC312" s="7">
        <f>100-(S$436-Tabell2[[#This Row],[Sysselsettingsvekst10-T]])*100/S$439</f>
        <v>60.21416024846193</v>
      </c>
      <c r="AD312" s="7">
        <f>100-(T$436-Tabell2[[#This Row],[Yrkesaktivandel-T]])*100/T$439</f>
        <v>40.638546103877587</v>
      </c>
      <c r="AE312" s="7">
        <f>100-(U$436-Tabell2[[#This Row],[Inntekt-T]])*100/U$439</f>
        <v>47.274573975849229</v>
      </c>
      <c r="AF312" s="7">
        <v>12</v>
      </c>
      <c r="AG312" s="7">
        <v>3.2032175502749198</v>
      </c>
      <c r="AH312" s="7">
        <v>1.4161551884930732</v>
      </c>
      <c r="AI312" s="7">
        <v>14.485971322055812</v>
      </c>
      <c r="AJ312" s="7">
        <v>3.2397404844372191</v>
      </c>
      <c r="AK312" s="7">
        <v>3.4142111952178271</v>
      </c>
      <c r="AL312" s="7">
        <v>6.021416024846193</v>
      </c>
      <c r="AM312" s="7">
        <v>4.0638546103877591</v>
      </c>
      <c r="AN312" s="7">
        <v>4.7274573975849234</v>
      </c>
      <c r="AO31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52.572023773297715</v>
      </c>
    </row>
    <row r="313" spans="1:41" x14ac:dyDescent="0.3">
      <c r="A313" s="2" t="s">
        <v>310</v>
      </c>
      <c r="B313">
        <f>'Rådata-K'!N312</f>
        <v>9</v>
      </c>
      <c r="C313" s="7">
        <f>'Rådata-K'!M312</f>
        <v>155.43333333332998</v>
      </c>
      <c r="D313" s="24">
        <f>'Rådata-K'!O312</f>
        <v>3.2087053571428572</v>
      </c>
      <c r="E313" s="24">
        <f>'Rådata-K'!P312</f>
        <v>2.880201997485254</v>
      </c>
      <c r="F313" s="24">
        <f>'Rådata-K'!Q312</f>
        <v>-7.093456286575428E-4</v>
      </c>
      <c r="G313" s="24">
        <f>'Rådata-K'!R312</f>
        <v>0.10470275066548358</v>
      </c>
      <c r="H313" s="24">
        <f>'Rådata-K'!S312</f>
        <v>0.19804791481810116</v>
      </c>
      <c r="I313" s="24">
        <f>'Rådata-K'!T312</f>
        <v>6.4377682403433667E-3</v>
      </c>
      <c r="J313" s="24">
        <f>'Rådata-K'!U312</f>
        <v>0.93805031446540876</v>
      </c>
      <c r="K313" s="24">
        <f>'Rådata-K'!L312</f>
        <v>371000</v>
      </c>
      <c r="L313" s="24">
        <f>Tabell2[[#This Row],[NIBR11]]</f>
        <v>9</v>
      </c>
      <c r="M313" s="24">
        <f>IF(Tabell2[[#This Row],[ReisetidOslo]]&lt;=C$434,C$434,IF(Tabell2[[#This Row],[ReisetidOslo]]&gt;=C$435,C$435,Tabell2[[#This Row],[ReisetidOslo]]))</f>
        <v>155.43333333332998</v>
      </c>
      <c r="N313" s="24">
        <f>IF(Tabell2[[#This Row],[Beftettland]]&lt;=D$434,D$434,IF(Tabell2[[#This Row],[Beftettland]]&gt;=D$435,D$435,Tabell2[[#This Row],[Beftettland]]))</f>
        <v>3.2087053571428572</v>
      </c>
      <c r="O313" s="24">
        <f>IF(Tabell2[[#This Row],[Beftettotal]]&lt;=E$434,E$434,IF(Tabell2[[#This Row],[Beftettotal]]&gt;=E$435,E$435,Tabell2[[#This Row],[Beftettotal]]))</f>
        <v>2.880201997485254</v>
      </c>
      <c r="P313" s="24">
        <f>IF(Tabell2[[#This Row],[Befvekst10]]&lt;=F$434,F$434,IF(Tabell2[[#This Row],[Befvekst10]]&gt;=F$435,F$435,Tabell2[[#This Row],[Befvekst10]]))</f>
        <v>-7.093456286575428E-4</v>
      </c>
      <c r="Q313" s="24">
        <f>IF(Tabell2[[#This Row],[Kvinneandel]]&lt;=G$434,G$434,IF(Tabell2[[#This Row],[Kvinneandel]]&gt;=G$435,G$435,Tabell2[[#This Row],[Kvinneandel]]))</f>
        <v>0.10470275066548358</v>
      </c>
      <c r="R313" s="24">
        <f>IF(Tabell2[[#This Row],[Eldreandel]]&lt;=H$434,H$434,IF(Tabell2[[#This Row],[Eldreandel]]&gt;=H$435,H$435,Tabell2[[#This Row],[Eldreandel]]))</f>
        <v>0.19804791481810116</v>
      </c>
      <c r="S313" s="24">
        <f>IF(Tabell2[[#This Row],[Sysselsettingsvekst10]]&lt;=I$434,I$434,IF(Tabell2[[#This Row],[Sysselsettingsvekst10]]&gt;=I$435,I$435,Tabell2[[#This Row],[Sysselsettingsvekst10]]))</f>
        <v>6.4377682403433667E-3</v>
      </c>
      <c r="T313" s="24">
        <f>IF(Tabell2[[#This Row],[Yrkesaktivandel]]&lt;=J$434,J$434,IF(Tabell2[[#This Row],[Yrkesaktivandel]]&gt;=J$435,J$435,Tabell2[[#This Row],[Yrkesaktivandel]]))</f>
        <v>0.93805031446540876</v>
      </c>
      <c r="U313" s="24">
        <f>IF(Tabell2[[#This Row],[Inntekt]]&lt;=K$434,K$434,IF(Tabell2[[#This Row],[Inntekt]]&gt;=K$435,K$435,Tabell2[[#This Row],[Inntekt]]))</f>
        <v>371000</v>
      </c>
      <c r="V313" s="7">
        <f>IF(Tabell2[[#This Row],[NIBR11-T]]&lt;=L$437,100,IF(Tabell2[[#This Row],[NIBR11-T]]&gt;=L$436,0,100*(L$436-Tabell2[[#This Row],[NIBR11-T]])/L$439))</f>
        <v>20</v>
      </c>
      <c r="W313" s="7">
        <f>(M$436-Tabell2[[#This Row],[ReisetidOslo-T]])*100/M$439</f>
        <v>54.854844606953073</v>
      </c>
      <c r="X313" s="7">
        <f>100-(N$436-Tabell2[[#This Row],[Beftettland-T]])*100/N$439</f>
        <v>1.3360255195486275</v>
      </c>
      <c r="Y313" s="7">
        <f>100-(O$436-Tabell2[[#This Row],[Beftettotal-T]])*100/O$439</f>
        <v>1.195721221441076</v>
      </c>
      <c r="Z313" s="7">
        <f>100-(P$436-Tabell2[[#This Row],[Befvekst10-T]])*100/P$439</f>
        <v>28.476363556667707</v>
      </c>
      <c r="AA313" s="7">
        <f>100-(Q$436-Tabell2[[#This Row],[Kvinneandel-T]])*100/Q$439</f>
        <v>39.881115776459367</v>
      </c>
      <c r="AB313" s="7">
        <f>(R$436-Tabell2[[#This Row],[Eldreandel-T]])*100/R$439</f>
        <v>24.046926276722619</v>
      </c>
      <c r="AC313" s="7">
        <f>100-(S$436-Tabell2[[#This Row],[Sysselsettingsvekst10-T]])*100/S$439</f>
        <v>32.311381699353646</v>
      </c>
      <c r="AD313" s="7">
        <f>100-(T$436-Tabell2[[#This Row],[Yrkesaktivandel-T]])*100/T$439</f>
        <v>98.152954195613034</v>
      </c>
      <c r="AE313" s="7">
        <f>100-(U$436-Tabell2[[#This Row],[Inntekt-T]])*100/U$439</f>
        <v>30.007899785577251</v>
      </c>
      <c r="AF313" s="7">
        <v>4</v>
      </c>
      <c r="AG313" s="7">
        <v>5.4854844606953073</v>
      </c>
      <c r="AH313" s="7">
        <v>0.1195721221441076</v>
      </c>
      <c r="AI313" s="7">
        <v>5.6952727113335415</v>
      </c>
      <c r="AJ313" s="7">
        <v>1.9940557888229684</v>
      </c>
      <c r="AK313" s="7">
        <v>1.202346313836131</v>
      </c>
      <c r="AL313" s="7">
        <v>3.231138169935365</v>
      </c>
      <c r="AM313" s="7">
        <v>9.8152954195613038</v>
      </c>
      <c r="AN313" s="7">
        <v>3.0007899785577252</v>
      </c>
      <c r="AO31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34.543954964886453</v>
      </c>
    </row>
    <row r="314" spans="1:41" x14ac:dyDescent="0.3">
      <c r="A314" s="2" t="s">
        <v>311</v>
      </c>
      <c r="B314">
        <f>'Rådata-K'!N313</f>
        <v>9</v>
      </c>
      <c r="C314" s="7">
        <f>'Rådata-K'!M313</f>
        <v>180.28333333329999</v>
      </c>
      <c r="D314" s="24">
        <f>'Rådata-K'!O313</f>
        <v>1.7337191733463084</v>
      </c>
      <c r="E314" s="24">
        <f>'Rådata-K'!P313</f>
        <v>1.6792062835882595</v>
      </c>
      <c r="F314" s="24">
        <f>'Rådata-K'!Q313</f>
        <v>-2.6832774317201769E-2</v>
      </c>
      <c r="G314" s="24">
        <f>'Rådata-K'!R313</f>
        <v>9.7488921713441659E-2</v>
      </c>
      <c r="H314" s="24">
        <f>'Rådata-K'!S313</f>
        <v>0.22698178237321517</v>
      </c>
      <c r="I314" s="24">
        <f>'Rådata-K'!T313</f>
        <v>-0.15564738292011016</v>
      </c>
      <c r="J314" s="24">
        <f>'Rådata-K'!U313</f>
        <v>0.8970588235294118</v>
      </c>
      <c r="K314" s="24">
        <f>'Rådata-K'!L313</f>
        <v>351500</v>
      </c>
      <c r="L314" s="24">
        <f>Tabell2[[#This Row],[NIBR11]]</f>
        <v>9</v>
      </c>
      <c r="M314" s="24">
        <f>IF(Tabell2[[#This Row],[ReisetidOslo]]&lt;=C$434,C$434,IF(Tabell2[[#This Row],[ReisetidOslo]]&gt;=C$435,C$435,Tabell2[[#This Row],[ReisetidOslo]]))</f>
        <v>180.28333333329999</v>
      </c>
      <c r="N314" s="24">
        <f>IF(Tabell2[[#This Row],[Beftettland]]&lt;=D$434,D$434,IF(Tabell2[[#This Row],[Beftettland]]&gt;=D$435,D$435,Tabell2[[#This Row],[Beftettland]]))</f>
        <v>1.7337191733463084</v>
      </c>
      <c r="O314" s="24">
        <f>IF(Tabell2[[#This Row],[Beftettotal]]&lt;=E$434,E$434,IF(Tabell2[[#This Row],[Beftettotal]]&gt;=E$435,E$435,Tabell2[[#This Row],[Beftettotal]]))</f>
        <v>1.6792062835882595</v>
      </c>
      <c r="P314" s="24">
        <f>IF(Tabell2[[#This Row],[Befvekst10]]&lt;=F$434,F$434,IF(Tabell2[[#This Row],[Befvekst10]]&gt;=F$435,F$435,Tabell2[[#This Row],[Befvekst10]]))</f>
        <v>-2.6832774317201769E-2</v>
      </c>
      <c r="Q314" s="24">
        <f>IF(Tabell2[[#This Row],[Kvinneandel]]&lt;=G$434,G$434,IF(Tabell2[[#This Row],[Kvinneandel]]&gt;=G$435,G$435,Tabell2[[#This Row],[Kvinneandel]]))</f>
        <v>9.7488921713441659E-2</v>
      </c>
      <c r="R314" s="24">
        <f>IF(Tabell2[[#This Row],[Eldreandel]]&lt;=H$434,H$434,IF(Tabell2[[#This Row],[Eldreandel]]&gt;=H$435,H$435,Tabell2[[#This Row],[Eldreandel]]))</f>
        <v>0.22032896051974013</v>
      </c>
      <c r="S314" s="24">
        <f>IF(Tabell2[[#This Row],[Sysselsettingsvekst10]]&lt;=I$434,I$434,IF(Tabell2[[#This Row],[Sysselsettingsvekst10]]&gt;=I$435,I$435,Tabell2[[#This Row],[Sysselsettingsvekst10]]))</f>
        <v>-9.2570207570207563E-2</v>
      </c>
      <c r="T314" s="24">
        <f>IF(Tabell2[[#This Row],[Yrkesaktivandel]]&lt;=J$434,J$434,IF(Tabell2[[#This Row],[Yrkesaktivandel]]&gt;=J$435,J$435,Tabell2[[#This Row],[Yrkesaktivandel]]))</f>
        <v>0.8970588235294118</v>
      </c>
      <c r="U314" s="24">
        <f>IF(Tabell2[[#This Row],[Inntekt]]&lt;=K$434,K$434,IF(Tabell2[[#This Row],[Inntekt]]&gt;=K$435,K$435,Tabell2[[#This Row],[Inntekt]]))</f>
        <v>351500</v>
      </c>
      <c r="V314" s="7">
        <f>IF(Tabell2[[#This Row],[NIBR11-T]]&lt;=L$437,100,IF(Tabell2[[#This Row],[NIBR11-T]]&gt;=L$436,0,100*(L$436-Tabell2[[#This Row],[NIBR11-T]])/L$439))</f>
        <v>20</v>
      </c>
      <c r="W314" s="7">
        <f>(M$436-Tabell2[[#This Row],[ReisetidOslo-T]])*100/M$439</f>
        <v>43.95173674590702</v>
      </c>
      <c r="X314" s="7">
        <f>100-(N$436-Tabell2[[#This Row],[Beftettland-T]])*100/N$439</f>
        <v>0.24497271717018521</v>
      </c>
      <c r="Y314" s="7">
        <f>100-(O$436-Tabell2[[#This Row],[Beftettotal-T]])*100/O$439</f>
        <v>0.27643278506809565</v>
      </c>
      <c r="Z314" s="7">
        <f>100-(P$436-Tabell2[[#This Row],[Befvekst10-T]])*100/P$439</f>
        <v>17.902617085906428</v>
      </c>
      <c r="AA314" s="7">
        <f>100-(Q$436-Tabell2[[#This Row],[Kvinneandel-T]])*100/Q$439</f>
        <v>20.93000283029744</v>
      </c>
      <c r="AB314" s="7">
        <f>(R$436-Tabell2[[#This Row],[Eldreandel-T]])*100/R$439</f>
        <v>0</v>
      </c>
      <c r="AC314" s="7">
        <f>100-(S$436-Tabell2[[#This Row],[Sysselsettingsvekst10-T]])*100/S$439</f>
        <v>0</v>
      </c>
      <c r="AD314" s="7">
        <f>100-(T$436-Tabell2[[#This Row],[Yrkesaktivandel-T]])*100/T$439</f>
        <v>69.24190886611953</v>
      </c>
      <c r="AE314" s="7">
        <f>100-(U$436-Tabell2[[#This Row],[Inntekt-T]])*100/U$439</f>
        <v>8.0013542489561047</v>
      </c>
      <c r="AF314" s="7">
        <v>4</v>
      </c>
      <c r="AG314" s="7">
        <v>4.3951736745907022</v>
      </c>
      <c r="AH314" s="7">
        <v>2.7643278506809567E-2</v>
      </c>
      <c r="AI314" s="7">
        <v>3.5805234171812859</v>
      </c>
      <c r="AJ314" s="7">
        <v>1.046500141514872</v>
      </c>
      <c r="AK314" s="7">
        <v>0</v>
      </c>
      <c r="AL314" s="7">
        <v>0</v>
      </c>
      <c r="AM314" s="7">
        <v>6.924190886611953</v>
      </c>
      <c r="AN314" s="7">
        <v>0.80013542489561051</v>
      </c>
      <c r="AO31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20.774166823301233</v>
      </c>
    </row>
    <row r="315" spans="1:41" x14ac:dyDescent="0.3">
      <c r="A315" s="2" t="s">
        <v>312</v>
      </c>
      <c r="B315">
        <f>'Rådata-K'!N314</f>
        <v>2</v>
      </c>
      <c r="C315" s="7">
        <f>'Rådata-K'!M314</f>
        <v>217.51666666669999</v>
      </c>
      <c r="D315" s="24">
        <f>'Rådata-K'!O314</f>
        <v>3.4850069445597258</v>
      </c>
      <c r="E315" s="24">
        <f>'Rådata-K'!P314</f>
        <v>3.3850933346233023</v>
      </c>
      <c r="F315" s="24">
        <f>'Rådata-K'!Q314</f>
        <v>7.2365060446109242E-2</v>
      </c>
      <c r="G315" s="24">
        <f>'Rådata-K'!R314</f>
        <v>0.12162591298825023</v>
      </c>
      <c r="H315" s="24">
        <f>'Rådata-K'!S314</f>
        <v>0.16703715465227056</v>
      </c>
      <c r="I315" s="24">
        <f>'Rådata-K'!T314</f>
        <v>0.10663764961915123</v>
      </c>
      <c r="J315" s="24">
        <f>'Rådata-K'!U314</f>
        <v>0.92020982882385427</v>
      </c>
      <c r="K315" s="24">
        <f>'Rådata-K'!L314</f>
        <v>360500</v>
      </c>
      <c r="L315" s="24">
        <f>Tabell2[[#This Row],[NIBR11]]</f>
        <v>2</v>
      </c>
      <c r="M315" s="24">
        <f>IF(Tabell2[[#This Row],[ReisetidOslo]]&lt;=C$434,C$434,IF(Tabell2[[#This Row],[ReisetidOslo]]&gt;=C$435,C$435,Tabell2[[#This Row],[ReisetidOslo]]))</f>
        <v>217.51666666669999</v>
      </c>
      <c r="N315" s="24">
        <f>IF(Tabell2[[#This Row],[Beftettland]]&lt;=D$434,D$434,IF(Tabell2[[#This Row],[Beftettland]]&gt;=D$435,D$435,Tabell2[[#This Row],[Beftettland]]))</f>
        <v>3.4850069445597258</v>
      </c>
      <c r="O315" s="24">
        <f>IF(Tabell2[[#This Row],[Beftettotal]]&lt;=E$434,E$434,IF(Tabell2[[#This Row],[Beftettotal]]&gt;=E$435,E$435,Tabell2[[#This Row],[Beftettotal]]))</f>
        <v>3.3850933346233023</v>
      </c>
      <c r="P315" s="24">
        <f>IF(Tabell2[[#This Row],[Befvekst10]]&lt;=F$434,F$434,IF(Tabell2[[#This Row],[Befvekst10]]&gt;=F$435,F$435,Tabell2[[#This Row],[Befvekst10]]))</f>
        <v>7.2365060446109242E-2</v>
      </c>
      <c r="Q315" s="24">
        <f>IF(Tabell2[[#This Row],[Kvinneandel]]&lt;=G$434,G$434,IF(Tabell2[[#This Row],[Kvinneandel]]&gt;=G$435,G$435,Tabell2[[#This Row],[Kvinneandel]]))</f>
        <v>0.12162591298825023</v>
      </c>
      <c r="R315" s="24">
        <f>IF(Tabell2[[#This Row],[Eldreandel]]&lt;=H$434,H$434,IF(Tabell2[[#This Row],[Eldreandel]]&gt;=H$435,H$435,Tabell2[[#This Row],[Eldreandel]]))</f>
        <v>0.16703715465227056</v>
      </c>
      <c r="S315" s="24">
        <f>IF(Tabell2[[#This Row],[Sysselsettingsvekst10]]&lt;=I$434,I$434,IF(Tabell2[[#This Row],[Sysselsettingsvekst10]]&gt;=I$435,I$435,Tabell2[[#This Row],[Sysselsettingsvekst10]]))</f>
        <v>0.10663764961915123</v>
      </c>
      <c r="T315" s="24">
        <f>IF(Tabell2[[#This Row],[Yrkesaktivandel]]&lt;=J$434,J$434,IF(Tabell2[[#This Row],[Yrkesaktivandel]]&gt;=J$435,J$435,Tabell2[[#This Row],[Yrkesaktivandel]]))</f>
        <v>0.92020982882385427</v>
      </c>
      <c r="U315" s="24">
        <f>IF(Tabell2[[#This Row],[Inntekt]]&lt;=K$434,K$434,IF(Tabell2[[#This Row],[Inntekt]]&gt;=K$435,K$435,Tabell2[[#This Row],[Inntekt]]))</f>
        <v>360500</v>
      </c>
      <c r="V315" s="7">
        <f>IF(Tabell2[[#This Row],[NIBR11-T]]&lt;=L$437,100,IF(Tabell2[[#This Row],[NIBR11-T]]&gt;=L$436,0,100*(L$436-Tabell2[[#This Row],[NIBR11-T]])/L$439))</f>
        <v>90</v>
      </c>
      <c r="W315" s="7">
        <f>(M$436-Tabell2[[#This Row],[ReisetidOslo-T]])*100/M$439</f>
        <v>27.615356489937948</v>
      </c>
      <c r="X315" s="7">
        <f>100-(N$436-Tabell2[[#This Row],[Beftettland-T]])*100/N$439</f>
        <v>1.540406838210771</v>
      </c>
      <c r="Y315" s="7">
        <f>100-(O$436-Tabell2[[#This Row],[Beftettotal-T]])*100/O$439</f>
        <v>1.5821845222549058</v>
      </c>
      <c r="Z315" s="7">
        <f>100-(P$436-Tabell2[[#This Row],[Befvekst10-T]])*100/P$439</f>
        <v>58.054037014014362</v>
      </c>
      <c r="AA315" s="7">
        <f>100-(Q$436-Tabell2[[#This Row],[Kvinneandel-T]])*100/Q$439</f>
        <v>84.339164715116695</v>
      </c>
      <c r="AB315" s="7">
        <f>(R$436-Tabell2[[#This Row],[Eldreandel-T]])*100/R$439</f>
        <v>57.515439087052755</v>
      </c>
      <c r="AC315" s="7">
        <f>100-(S$436-Tabell2[[#This Row],[Sysselsettingsvekst10-T]])*100/S$439</f>
        <v>65.011743331386924</v>
      </c>
      <c r="AD315" s="7">
        <f>100-(T$436-Tabell2[[#This Row],[Yrkesaktivandel-T]])*100/T$439</f>
        <v>85.570169883412817</v>
      </c>
      <c r="AE315" s="7">
        <f>100-(U$436-Tabell2[[#This Row],[Inntekt-T]])*100/U$439</f>
        <v>18.158221419704319</v>
      </c>
      <c r="AF315" s="7">
        <v>18</v>
      </c>
      <c r="AG315" s="7">
        <v>2.761535648993795</v>
      </c>
      <c r="AH315" s="7">
        <v>0.15821845222549058</v>
      </c>
      <c r="AI315" s="7">
        <v>11.610807402802873</v>
      </c>
      <c r="AJ315" s="7">
        <v>4.2169582357558353</v>
      </c>
      <c r="AK315" s="7">
        <v>2.8757719543526381</v>
      </c>
      <c r="AL315" s="7">
        <v>6.5011743331386924</v>
      </c>
      <c r="AM315" s="7">
        <v>8.5570169883412817</v>
      </c>
      <c r="AN315" s="7">
        <v>1.8158221419704319</v>
      </c>
      <c r="AO31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56.497305157581032</v>
      </c>
    </row>
    <row r="316" spans="1:41" x14ac:dyDescent="0.3">
      <c r="A316" s="2" t="s">
        <v>313</v>
      </c>
      <c r="B316">
        <f>'Rådata-K'!N315</f>
        <v>2</v>
      </c>
      <c r="C316" s="7">
        <f>'Rådata-K'!M315</f>
        <v>192.0666666667</v>
      </c>
      <c r="D316" s="24">
        <f>'Rådata-K'!O315</f>
        <v>24.619902719569275</v>
      </c>
      <c r="E316" s="24">
        <f>'Rådata-K'!P315</f>
        <v>23.198766268394277</v>
      </c>
      <c r="F316" s="24">
        <f>'Rådata-K'!Q315</f>
        <v>0.13544018058690743</v>
      </c>
      <c r="G316" s="24">
        <f>'Rådata-K'!R315</f>
        <v>0.12288767395626242</v>
      </c>
      <c r="H316" s="24">
        <f>'Rådata-K'!S315</f>
        <v>0.14040755467196819</v>
      </c>
      <c r="I316" s="24">
        <f>'Rådata-K'!T315</f>
        <v>0.1647258612324114</v>
      </c>
      <c r="J316" s="24">
        <f>'Rådata-K'!U315</f>
        <v>0.88289559366181902</v>
      </c>
      <c r="K316" s="24">
        <f>'Rådata-K'!L315</f>
        <v>391300</v>
      </c>
      <c r="L316" s="24">
        <f>Tabell2[[#This Row],[NIBR11]]</f>
        <v>2</v>
      </c>
      <c r="M316" s="24">
        <f>IF(Tabell2[[#This Row],[ReisetidOslo]]&lt;=C$434,C$434,IF(Tabell2[[#This Row],[ReisetidOslo]]&gt;=C$435,C$435,Tabell2[[#This Row],[ReisetidOslo]]))</f>
        <v>192.0666666667</v>
      </c>
      <c r="N316" s="24">
        <f>IF(Tabell2[[#This Row],[Beftettland]]&lt;=D$434,D$434,IF(Tabell2[[#This Row],[Beftettland]]&gt;=D$435,D$435,Tabell2[[#This Row],[Beftettland]]))</f>
        <v>24.619902719569275</v>
      </c>
      <c r="O316" s="24">
        <f>IF(Tabell2[[#This Row],[Beftettotal]]&lt;=E$434,E$434,IF(Tabell2[[#This Row],[Beftettotal]]&gt;=E$435,E$435,Tabell2[[#This Row],[Beftettotal]]))</f>
        <v>23.198766268394277</v>
      </c>
      <c r="P316" s="24">
        <f>IF(Tabell2[[#This Row],[Befvekst10]]&lt;=F$434,F$434,IF(Tabell2[[#This Row],[Befvekst10]]&gt;=F$435,F$435,Tabell2[[#This Row],[Befvekst10]]))</f>
        <v>0.13544018058690743</v>
      </c>
      <c r="Q316" s="24">
        <f>IF(Tabell2[[#This Row],[Kvinneandel]]&lt;=G$434,G$434,IF(Tabell2[[#This Row],[Kvinneandel]]&gt;=G$435,G$435,Tabell2[[#This Row],[Kvinneandel]]))</f>
        <v>0.12288767395626242</v>
      </c>
      <c r="R316" s="24">
        <f>IF(Tabell2[[#This Row],[Eldreandel]]&lt;=H$434,H$434,IF(Tabell2[[#This Row],[Eldreandel]]&gt;=H$435,H$435,Tabell2[[#This Row],[Eldreandel]]))</f>
        <v>0.14040755467196819</v>
      </c>
      <c r="S316" s="24">
        <f>IF(Tabell2[[#This Row],[Sysselsettingsvekst10]]&lt;=I$434,I$434,IF(Tabell2[[#This Row],[Sysselsettingsvekst10]]&gt;=I$435,I$435,Tabell2[[#This Row],[Sysselsettingsvekst10]]))</f>
        <v>0.1647258612324114</v>
      </c>
      <c r="T316" s="24">
        <f>IF(Tabell2[[#This Row],[Yrkesaktivandel]]&lt;=J$434,J$434,IF(Tabell2[[#This Row],[Yrkesaktivandel]]&gt;=J$435,J$435,Tabell2[[#This Row],[Yrkesaktivandel]]))</f>
        <v>0.88289559366181902</v>
      </c>
      <c r="U316" s="24">
        <f>IF(Tabell2[[#This Row],[Inntekt]]&lt;=K$434,K$434,IF(Tabell2[[#This Row],[Inntekt]]&gt;=K$435,K$435,Tabell2[[#This Row],[Inntekt]]))</f>
        <v>391300</v>
      </c>
      <c r="V316" s="7">
        <f>IF(Tabell2[[#This Row],[NIBR11-T]]&lt;=L$437,100,IF(Tabell2[[#This Row],[NIBR11-T]]&gt;=L$436,0,100*(L$436-Tabell2[[#This Row],[NIBR11-T]])/L$439))</f>
        <v>90</v>
      </c>
      <c r="W316" s="7">
        <f>(M$436-Tabell2[[#This Row],[ReisetidOslo-T]])*100/M$439</f>
        <v>38.781718464342653</v>
      </c>
      <c r="X316" s="7">
        <f>100-(N$436-Tabell2[[#This Row],[Beftettland-T]])*100/N$439</f>
        <v>17.173968370256347</v>
      </c>
      <c r="Y316" s="7">
        <f>100-(O$436-Tabell2[[#This Row],[Beftettotal-T]])*100/O$439</f>
        <v>16.748333909241197</v>
      </c>
      <c r="Z316" s="7">
        <f>100-(P$436-Tabell2[[#This Row],[Befvekst10-T]])*100/P$439</f>
        <v>83.584388980181757</v>
      </c>
      <c r="AA316" s="7">
        <f>100-(Q$436-Tabell2[[#This Row],[Kvinneandel-T]])*100/Q$439</f>
        <v>87.653877993574611</v>
      </c>
      <c r="AB316" s="7">
        <f>(R$436-Tabell2[[#This Row],[Eldreandel-T]])*100/R$439</f>
        <v>86.255563589281167</v>
      </c>
      <c r="AC316" s="7">
        <f>100-(S$436-Tabell2[[#This Row],[Sysselsettingsvekst10-T]])*100/S$439</f>
        <v>83.968906754870034</v>
      </c>
      <c r="AD316" s="7">
        <f>100-(T$436-Tabell2[[#This Row],[Yrkesaktivandel-T]])*100/T$439</f>
        <v>59.252670334802076</v>
      </c>
      <c r="AE316" s="7">
        <f>100-(U$436-Tabell2[[#This Row],[Inntekt-T]])*100/U$439</f>
        <v>52.917277959598238</v>
      </c>
      <c r="AF316" s="7">
        <v>18</v>
      </c>
      <c r="AG316" s="7">
        <v>3.8781718464342654</v>
      </c>
      <c r="AH316" s="7">
        <v>1.6748333909241198</v>
      </c>
      <c r="AI316" s="7">
        <v>16.716877796036353</v>
      </c>
      <c r="AJ316" s="7">
        <v>4.3826938996787304</v>
      </c>
      <c r="AK316" s="7">
        <v>4.3127781794640585</v>
      </c>
      <c r="AL316" s="7">
        <v>8.3968906754870041</v>
      </c>
      <c r="AM316" s="7">
        <v>5.9252670334802078</v>
      </c>
      <c r="AN316" s="7">
        <v>5.2917277959598241</v>
      </c>
      <c r="AO31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68.579240617464578</v>
      </c>
    </row>
    <row r="317" spans="1:41" x14ac:dyDescent="0.3">
      <c r="A317" s="2" t="s">
        <v>314</v>
      </c>
      <c r="B317">
        <f>'Rådata-K'!N316</f>
        <v>2</v>
      </c>
      <c r="C317" s="7">
        <f>'Rådata-K'!M316</f>
        <v>198.75</v>
      </c>
      <c r="D317" s="24">
        <f>'Rådata-K'!O316</f>
        <v>36.38965792313828</v>
      </c>
      <c r="E317" s="24">
        <f>'Rådata-K'!P316</f>
        <v>34.588109361759066</v>
      </c>
      <c r="F317" s="24">
        <f>'Rådata-K'!Q316</f>
        <v>0.26179629027009432</v>
      </c>
      <c r="G317" s="24">
        <f>'Rådata-K'!R316</f>
        <v>0.12843326885880077</v>
      </c>
      <c r="H317" s="24">
        <f>'Rådata-K'!S316</f>
        <v>0.1218568665377176</v>
      </c>
      <c r="I317" s="24">
        <f>'Rådata-K'!T316</f>
        <v>0.24368378158109216</v>
      </c>
      <c r="J317" s="24">
        <f>'Rådata-K'!U316</f>
        <v>0.88627628306579243</v>
      </c>
      <c r="K317" s="24">
        <f>'Rådata-K'!L316</f>
        <v>396500</v>
      </c>
      <c r="L317" s="24">
        <f>Tabell2[[#This Row],[NIBR11]]</f>
        <v>2</v>
      </c>
      <c r="M317" s="24">
        <f>IF(Tabell2[[#This Row],[ReisetidOslo]]&lt;=C$434,C$434,IF(Tabell2[[#This Row],[ReisetidOslo]]&gt;=C$435,C$435,Tabell2[[#This Row],[ReisetidOslo]]))</f>
        <v>198.75</v>
      </c>
      <c r="N317" s="24">
        <f>IF(Tabell2[[#This Row],[Beftettland]]&lt;=D$434,D$434,IF(Tabell2[[#This Row],[Beftettland]]&gt;=D$435,D$435,Tabell2[[#This Row],[Beftettland]]))</f>
        <v>36.38965792313828</v>
      </c>
      <c r="O317" s="24">
        <f>IF(Tabell2[[#This Row],[Beftettotal]]&lt;=E$434,E$434,IF(Tabell2[[#This Row],[Beftettotal]]&gt;=E$435,E$435,Tabell2[[#This Row],[Beftettotal]]))</f>
        <v>34.588109361759066</v>
      </c>
      <c r="P317" s="24">
        <f>IF(Tabell2[[#This Row],[Befvekst10]]&lt;=F$434,F$434,IF(Tabell2[[#This Row],[Befvekst10]]&gt;=F$435,F$435,Tabell2[[#This Row],[Befvekst10]]))</f>
        <v>0.17599648151968622</v>
      </c>
      <c r="Q317" s="24">
        <f>IF(Tabell2[[#This Row],[Kvinneandel]]&lt;=G$434,G$434,IF(Tabell2[[#This Row],[Kvinneandel]]&gt;=G$435,G$435,Tabell2[[#This Row],[Kvinneandel]]))</f>
        <v>0.12758728250318055</v>
      </c>
      <c r="R317" s="24">
        <f>IF(Tabell2[[#This Row],[Eldreandel]]&lt;=H$434,H$434,IF(Tabell2[[#This Row],[Eldreandel]]&gt;=H$435,H$435,Tabell2[[#This Row],[Eldreandel]]))</f>
        <v>0.12767243783057225</v>
      </c>
      <c r="S317" s="24">
        <f>IF(Tabell2[[#This Row],[Sysselsettingsvekst10]]&lt;=I$434,I$434,IF(Tabell2[[#This Row],[Sysselsettingsvekst10]]&gt;=I$435,I$435,Tabell2[[#This Row],[Sysselsettingsvekst10]]))</f>
        <v>0.21384805931725109</v>
      </c>
      <c r="T317" s="24">
        <f>IF(Tabell2[[#This Row],[Yrkesaktivandel]]&lt;=J$434,J$434,IF(Tabell2[[#This Row],[Yrkesaktivandel]]&gt;=J$435,J$435,Tabell2[[#This Row],[Yrkesaktivandel]]))</f>
        <v>0.88627628306579243</v>
      </c>
      <c r="U317" s="24">
        <f>IF(Tabell2[[#This Row],[Inntekt]]&lt;=K$434,K$434,IF(Tabell2[[#This Row],[Inntekt]]&gt;=K$435,K$435,Tabell2[[#This Row],[Inntekt]]))</f>
        <v>396500</v>
      </c>
      <c r="V317" s="7">
        <f>IF(Tabell2[[#This Row],[NIBR11-T]]&lt;=L$437,100,IF(Tabell2[[#This Row],[NIBR11-T]]&gt;=L$436,0,100*(L$436-Tabell2[[#This Row],[NIBR11-T]])/L$439))</f>
        <v>90</v>
      </c>
      <c r="W317" s="7">
        <f>(M$436-Tabell2[[#This Row],[ReisetidOslo-T]])*100/M$439</f>
        <v>35.84936014625886</v>
      </c>
      <c r="X317" s="7">
        <f>100-(N$436-Tabell2[[#This Row],[Beftettland-T]])*100/N$439</f>
        <v>25.880100359309267</v>
      </c>
      <c r="Y317" s="7">
        <f>100-(O$436-Tabell2[[#This Row],[Beftettotal-T]])*100/O$439</f>
        <v>25.466176348196598</v>
      </c>
      <c r="Z317" s="7">
        <f>100-(P$436-Tabell2[[#This Row],[Befvekst10-T]])*100/P$439</f>
        <v>100</v>
      </c>
      <c r="AA317" s="7">
        <f>100-(Q$436-Tabell2[[#This Row],[Kvinneandel-T]])*100/Q$439</f>
        <v>100</v>
      </c>
      <c r="AB317" s="7">
        <f>(R$436-Tabell2[[#This Row],[Eldreandel-T]])*100/R$439</f>
        <v>100</v>
      </c>
      <c r="AC317" s="7">
        <f>100-(S$436-Tabell2[[#This Row],[Sysselsettingsvekst10-T]])*100/S$439</f>
        <v>100</v>
      </c>
      <c r="AD317" s="7">
        <f>100-(T$436-Tabell2[[#This Row],[Yrkesaktivandel-T]])*100/T$439</f>
        <v>61.637049686990579</v>
      </c>
      <c r="AE317" s="7">
        <f>100-(U$436-Tabell2[[#This Row],[Inntekt-T]])*100/U$439</f>
        <v>58.78569010269721</v>
      </c>
      <c r="AF317" s="7">
        <v>18</v>
      </c>
      <c r="AG317" s="7">
        <v>3.5849360146258862</v>
      </c>
      <c r="AH317" s="7">
        <v>2.5466176348196599</v>
      </c>
      <c r="AI317" s="7">
        <v>20</v>
      </c>
      <c r="AJ317" s="7">
        <v>5</v>
      </c>
      <c r="AK317" s="7">
        <v>5</v>
      </c>
      <c r="AL317" s="7">
        <v>10</v>
      </c>
      <c r="AM317" s="7">
        <v>6.1637049686990579</v>
      </c>
      <c r="AN317" s="7">
        <v>5.8785690102697217</v>
      </c>
      <c r="AO31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76.17382762841433</v>
      </c>
    </row>
    <row r="318" spans="1:41" x14ac:dyDescent="0.3">
      <c r="A318" s="2" t="s">
        <v>315</v>
      </c>
      <c r="B318">
        <f>'Rådata-K'!N317</f>
        <v>2</v>
      </c>
      <c r="C318" s="7">
        <f>'Rådata-K'!M317</f>
        <v>187.5</v>
      </c>
      <c r="D318" s="24">
        <f>'Rådata-K'!O317</f>
        <v>34.656689135153663</v>
      </c>
      <c r="E318" s="24">
        <f>'Rådata-K'!P317</f>
        <v>32.555269371109681</v>
      </c>
      <c r="F318" s="24">
        <f>'Rådata-K'!Q317</f>
        <v>0.13338314963571829</v>
      </c>
      <c r="G318" s="24">
        <f>'Rådata-K'!R317</f>
        <v>0.12559749464315148</v>
      </c>
      <c r="H318" s="24">
        <f>'Rådata-K'!S317</f>
        <v>0.10796110103840448</v>
      </c>
      <c r="I318" s="24">
        <f>'Rådata-K'!T317</f>
        <v>6.2229904926534241E-2</v>
      </c>
      <c r="J318" s="24">
        <f>'Rådata-K'!U317</f>
        <v>0.88503440366972475</v>
      </c>
      <c r="K318" s="24">
        <f>'Rådata-K'!L317</f>
        <v>401600</v>
      </c>
      <c r="L318" s="24">
        <f>Tabell2[[#This Row],[NIBR11]]</f>
        <v>2</v>
      </c>
      <c r="M318" s="24">
        <f>IF(Tabell2[[#This Row],[ReisetidOslo]]&lt;=C$434,C$434,IF(Tabell2[[#This Row],[ReisetidOslo]]&gt;=C$435,C$435,Tabell2[[#This Row],[ReisetidOslo]]))</f>
        <v>187.5</v>
      </c>
      <c r="N318" s="24">
        <f>IF(Tabell2[[#This Row],[Beftettland]]&lt;=D$434,D$434,IF(Tabell2[[#This Row],[Beftettland]]&gt;=D$435,D$435,Tabell2[[#This Row],[Beftettland]]))</f>
        <v>34.656689135153663</v>
      </c>
      <c r="O318" s="24">
        <f>IF(Tabell2[[#This Row],[Beftettotal]]&lt;=E$434,E$434,IF(Tabell2[[#This Row],[Beftettotal]]&gt;=E$435,E$435,Tabell2[[#This Row],[Beftettotal]]))</f>
        <v>32.555269371109681</v>
      </c>
      <c r="P318" s="24">
        <f>IF(Tabell2[[#This Row],[Befvekst10]]&lt;=F$434,F$434,IF(Tabell2[[#This Row],[Befvekst10]]&gt;=F$435,F$435,Tabell2[[#This Row],[Befvekst10]]))</f>
        <v>0.13338314963571829</v>
      </c>
      <c r="Q318" s="24">
        <f>IF(Tabell2[[#This Row],[Kvinneandel]]&lt;=G$434,G$434,IF(Tabell2[[#This Row],[Kvinneandel]]&gt;=G$435,G$435,Tabell2[[#This Row],[Kvinneandel]]))</f>
        <v>0.12559749464315148</v>
      </c>
      <c r="R318" s="24">
        <f>IF(Tabell2[[#This Row],[Eldreandel]]&lt;=H$434,H$434,IF(Tabell2[[#This Row],[Eldreandel]]&gt;=H$435,H$435,Tabell2[[#This Row],[Eldreandel]]))</f>
        <v>0.12767243783057225</v>
      </c>
      <c r="S318" s="24">
        <f>IF(Tabell2[[#This Row],[Sysselsettingsvekst10]]&lt;=I$434,I$434,IF(Tabell2[[#This Row],[Sysselsettingsvekst10]]&gt;=I$435,I$435,Tabell2[[#This Row],[Sysselsettingsvekst10]]))</f>
        <v>6.2229904926534241E-2</v>
      </c>
      <c r="T318" s="24">
        <f>IF(Tabell2[[#This Row],[Yrkesaktivandel]]&lt;=J$434,J$434,IF(Tabell2[[#This Row],[Yrkesaktivandel]]&gt;=J$435,J$435,Tabell2[[#This Row],[Yrkesaktivandel]]))</f>
        <v>0.88503440366972475</v>
      </c>
      <c r="U318" s="24">
        <f>IF(Tabell2[[#This Row],[Inntekt]]&lt;=K$434,K$434,IF(Tabell2[[#This Row],[Inntekt]]&gt;=K$435,K$435,Tabell2[[#This Row],[Inntekt]]))</f>
        <v>401600</v>
      </c>
      <c r="V318" s="7">
        <f>IF(Tabell2[[#This Row],[NIBR11-T]]&lt;=L$437,100,IF(Tabell2[[#This Row],[NIBR11-T]]&gt;=L$436,0,100*(L$436-Tabell2[[#This Row],[NIBR11-T]])/L$439))</f>
        <v>90</v>
      </c>
      <c r="W318" s="7">
        <f>(M$436-Tabell2[[#This Row],[ReisetidOslo-T]])*100/M$439</f>
        <v>40.785374771486872</v>
      </c>
      <c r="X318" s="7">
        <f>100-(N$436-Tabell2[[#This Row],[Beftettland-T]])*100/N$439</f>
        <v>24.598216858747762</v>
      </c>
      <c r="Y318" s="7">
        <f>100-(O$436-Tabell2[[#This Row],[Beftettotal-T]])*100/O$439</f>
        <v>23.910162221937341</v>
      </c>
      <c r="Z318" s="7">
        <f>100-(P$436-Tabell2[[#This Row],[Befvekst10-T]])*100/P$439</f>
        <v>82.751782968937874</v>
      </c>
      <c r="AA318" s="7">
        <f>100-(Q$436-Tabell2[[#This Row],[Kvinneandel-T]])*100/Q$439</f>
        <v>94.772721293365436</v>
      </c>
      <c r="AB318" s="7">
        <f>(R$436-Tabell2[[#This Row],[Eldreandel-T]])*100/R$439</f>
        <v>100</v>
      </c>
      <c r="AC318" s="7">
        <f>100-(S$436-Tabell2[[#This Row],[Sysselsettingsvekst10-T]])*100/S$439</f>
        <v>50.519218083560538</v>
      </c>
      <c r="AD318" s="7">
        <f>100-(T$436-Tabell2[[#This Row],[Yrkesaktivandel-T]])*100/T$439</f>
        <v>60.761159820736722</v>
      </c>
      <c r="AE318" s="7">
        <f>100-(U$436-Tabell2[[#This Row],[Inntekt-T]])*100/U$439</f>
        <v>64.541248166121207</v>
      </c>
      <c r="AF318" s="7">
        <v>18</v>
      </c>
      <c r="AG318" s="7">
        <v>4.0785374771486875</v>
      </c>
      <c r="AH318" s="7">
        <v>2.3910162221937341</v>
      </c>
      <c r="AI318" s="7">
        <v>16.550356593787576</v>
      </c>
      <c r="AJ318" s="7">
        <v>4.7386360646682721</v>
      </c>
      <c r="AK318" s="7">
        <v>5</v>
      </c>
      <c r="AL318" s="7">
        <v>5.0519218083560542</v>
      </c>
      <c r="AM318" s="7">
        <v>6.0761159820736728</v>
      </c>
      <c r="AN318" s="7">
        <v>6.4541248166121212</v>
      </c>
      <c r="AO31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68.340708964840118</v>
      </c>
    </row>
    <row r="319" spans="1:41" x14ac:dyDescent="0.3">
      <c r="A319" s="2" t="s">
        <v>316</v>
      </c>
      <c r="B319">
        <f>'Rådata-K'!N318</f>
        <v>2</v>
      </c>
      <c r="C319" s="7">
        <f>'Rådata-K'!M318</f>
        <v>162.83333333333002</v>
      </c>
      <c r="D319" s="24">
        <f>'Rådata-K'!O318</f>
        <v>84.865332344946879</v>
      </c>
      <c r="E319" s="24">
        <f>'Rådata-K'!P318</f>
        <v>81.560199477558783</v>
      </c>
      <c r="F319" s="24">
        <f>'Rådata-K'!Q318</f>
        <v>0.12486694505854423</v>
      </c>
      <c r="G319" s="24">
        <f>'Rådata-K'!R318</f>
        <v>0.11995923715242393</v>
      </c>
      <c r="H319" s="24">
        <f>'Rådata-K'!S318</f>
        <v>0.11384481001601397</v>
      </c>
      <c r="I319" s="24">
        <f>'Rådata-K'!T318</f>
        <v>0.26038159371492697</v>
      </c>
      <c r="J319" s="24">
        <f>'Rådata-K'!U318</f>
        <v>0.86373790022338048</v>
      </c>
      <c r="K319" s="24">
        <f>'Rådata-K'!L318</f>
        <v>429400</v>
      </c>
      <c r="L319" s="24">
        <f>Tabell2[[#This Row],[NIBR11]]</f>
        <v>2</v>
      </c>
      <c r="M319" s="24">
        <f>IF(Tabell2[[#This Row],[ReisetidOslo]]&lt;=C$434,C$434,IF(Tabell2[[#This Row],[ReisetidOslo]]&gt;=C$435,C$435,Tabell2[[#This Row],[ReisetidOslo]]))</f>
        <v>162.83333333333002</v>
      </c>
      <c r="N319" s="24">
        <f>IF(Tabell2[[#This Row],[Beftettland]]&lt;=D$434,D$434,IF(Tabell2[[#This Row],[Beftettland]]&gt;=D$435,D$435,Tabell2[[#This Row],[Beftettland]]))</f>
        <v>84.865332344946879</v>
      </c>
      <c r="O319" s="24">
        <f>IF(Tabell2[[#This Row],[Beftettotal]]&lt;=E$434,E$434,IF(Tabell2[[#This Row],[Beftettotal]]&gt;=E$435,E$435,Tabell2[[#This Row],[Beftettotal]]))</f>
        <v>81.560199477558783</v>
      </c>
      <c r="P319" s="24">
        <f>IF(Tabell2[[#This Row],[Befvekst10]]&lt;=F$434,F$434,IF(Tabell2[[#This Row],[Befvekst10]]&gt;=F$435,F$435,Tabell2[[#This Row],[Befvekst10]]))</f>
        <v>0.12486694505854423</v>
      </c>
      <c r="Q319" s="24">
        <f>IF(Tabell2[[#This Row],[Kvinneandel]]&lt;=G$434,G$434,IF(Tabell2[[#This Row],[Kvinneandel]]&gt;=G$435,G$435,Tabell2[[#This Row],[Kvinneandel]]))</f>
        <v>0.11995923715242393</v>
      </c>
      <c r="R319" s="24">
        <f>IF(Tabell2[[#This Row],[Eldreandel]]&lt;=H$434,H$434,IF(Tabell2[[#This Row],[Eldreandel]]&gt;=H$435,H$435,Tabell2[[#This Row],[Eldreandel]]))</f>
        <v>0.12767243783057225</v>
      </c>
      <c r="S319" s="24">
        <f>IF(Tabell2[[#This Row],[Sysselsettingsvekst10]]&lt;=I$434,I$434,IF(Tabell2[[#This Row],[Sysselsettingsvekst10]]&gt;=I$435,I$435,Tabell2[[#This Row],[Sysselsettingsvekst10]]))</f>
        <v>0.21384805931725109</v>
      </c>
      <c r="T319" s="24">
        <f>IF(Tabell2[[#This Row],[Yrkesaktivandel]]&lt;=J$434,J$434,IF(Tabell2[[#This Row],[Yrkesaktivandel]]&gt;=J$435,J$435,Tabell2[[#This Row],[Yrkesaktivandel]]))</f>
        <v>0.86373790022338048</v>
      </c>
      <c r="U319" s="24">
        <f>IF(Tabell2[[#This Row],[Inntekt]]&lt;=K$434,K$434,IF(Tabell2[[#This Row],[Inntekt]]&gt;=K$435,K$435,Tabell2[[#This Row],[Inntekt]]))</f>
        <v>429400</v>
      </c>
      <c r="V319" s="7">
        <f>IF(Tabell2[[#This Row],[NIBR11-T]]&lt;=L$437,100,IF(Tabell2[[#This Row],[NIBR11-T]]&gt;=L$436,0,100*(L$436-Tabell2[[#This Row],[NIBR11-T]])/L$439))</f>
        <v>90</v>
      </c>
      <c r="W319" s="7">
        <f>(M$436-Tabell2[[#This Row],[ReisetidOslo-T]])*100/M$439</f>
        <v>51.608043875691962</v>
      </c>
      <c r="X319" s="7">
        <f>100-(N$436-Tabell2[[#This Row],[Beftettland-T]])*100/N$439</f>
        <v>61.737738217966296</v>
      </c>
      <c r="Y319" s="7">
        <f>100-(O$436-Tabell2[[#This Row],[Beftettotal-T]])*100/O$439</f>
        <v>61.420425623250978</v>
      </c>
      <c r="Z319" s="7">
        <f>100-(P$436-Tabell2[[#This Row],[Befvekst10-T]])*100/P$439</f>
        <v>79.304755047535522</v>
      </c>
      <c r="AA319" s="7">
        <f>100-(Q$436-Tabell2[[#This Row],[Kvinneandel-T]])*100/Q$439</f>
        <v>79.960718508620118</v>
      </c>
      <c r="AB319" s="7">
        <f>(R$436-Tabell2[[#This Row],[Eldreandel-T]])*100/R$439</f>
        <v>100</v>
      </c>
      <c r="AC319" s="7">
        <f>100-(S$436-Tabell2[[#This Row],[Sysselsettingsvekst10-T]])*100/S$439</f>
        <v>100</v>
      </c>
      <c r="AD319" s="7">
        <f>100-(T$436-Tabell2[[#This Row],[Yrkesaktivandel-T]])*100/T$439</f>
        <v>45.740867500598426</v>
      </c>
      <c r="AE319" s="7">
        <f>100-(U$436-Tabell2[[#This Row],[Inntekt-T]])*100/U$439</f>
        <v>95.914682315765717</v>
      </c>
      <c r="AF319" s="7">
        <v>18</v>
      </c>
      <c r="AG319" s="7">
        <v>5.1608043875691969</v>
      </c>
      <c r="AH319" s="7">
        <v>6.1420425623250985</v>
      </c>
      <c r="AI319" s="7">
        <v>15.860951009507104</v>
      </c>
      <c r="AJ319" s="7">
        <v>3.9980359254310063</v>
      </c>
      <c r="AK319" s="7">
        <v>5</v>
      </c>
      <c r="AL319" s="7">
        <v>10</v>
      </c>
      <c r="AM319" s="7">
        <v>4.574086750059843</v>
      </c>
      <c r="AN319" s="7">
        <v>9.591468231576572</v>
      </c>
      <c r="AO31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78.327388866468823</v>
      </c>
    </row>
    <row r="320" spans="1:41" x14ac:dyDescent="0.3">
      <c r="A320" s="2" t="s">
        <v>317</v>
      </c>
      <c r="B320">
        <f>'Rådata-K'!N319</f>
        <v>2</v>
      </c>
      <c r="C320" s="7">
        <f>'Rådata-K'!M319</f>
        <v>186.35</v>
      </c>
      <c r="D320" s="24">
        <f>'Rådata-K'!O319</f>
        <v>3.6217656545824273</v>
      </c>
      <c r="E320" s="24">
        <f>'Rådata-K'!P319</f>
        <v>3.3461825013766964</v>
      </c>
      <c r="F320" s="24">
        <f>'Rådata-K'!Q319</f>
        <v>4.8730964467005089E-2</v>
      </c>
      <c r="G320" s="24">
        <f>'Rådata-K'!R319</f>
        <v>0.10091965150048403</v>
      </c>
      <c r="H320" s="24">
        <f>'Rådata-K'!S319</f>
        <v>0.18973862536302033</v>
      </c>
      <c r="I320" s="24">
        <f>'Rådata-K'!T319</f>
        <v>-1.8832391713747842E-3</v>
      </c>
      <c r="J320" s="24">
        <f>'Rådata-K'!U319</f>
        <v>0.91494050242397529</v>
      </c>
      <c r="K320" s="24">
        <f>'Rådata-K'!L319</f>
        <v>368800</v>
      </c>
      <c r="L320" s="24">
        <f>Tabell2[[#This Row],[NIBR11]]</f>
        <v>2</v>
      </c>
      <c r="M320" s="24">
        <f>IF(Tabell2[[#This Row],[ReisetidOslo]]&lt;=C$434,C$434,IF(Tabell2[[#This Row],[ReisetidOslo]]&gt;=C$435,C$435,Tabell2[[#This Row],[ReisetidOslo]]))</f>
        <v>186.35</v>
      </c>
      <c r="N320" s="24">
        <f>IF(Tabell2[[#This Row],[Beftettland]]&lt;=D$434,D$434,IF(Tabell2[[#This Row],[Beftettland]]&gt;=D$435,D$435,Tabell2[[#This Row],[Beftettland]]))</f>
        <v>3.6217656545824273</v>
      </c>
      <c r="O320" s="24">
        <f>IF(Tabell2[[#This Row],[Beftettotal]]&lt;=E$434,E$434,IF(Tabell2[[#This Row],[Beftettotal]]&gt;=E$435,E$435,Tabell2[[#This Row],[Beftettotal]]))</f>
        <v>3.3461825013766964</v>
      </c>
      <c r="P320" s="24">
        <f>IF(Tabell2[[#This Row],[Befvekst10]]&lt;=F$434,F$434,IF(Tabell2[[#This Row],[Befvekst10]]&gt;=F$435,F$435,Tabell2[[#This Row],[Befvekst10]]))</f>
        <v>4.8730964467005089E-2</v>
      </c>
      <c r="Q320" s="24">
        <f>IF(Tabell2[[#This Row],[Kvinneandel]]&lt;=G$434,G$434,IF(Tabell2[[#This Row],[Kvinneandel]]&gt;=G$435,G$435,Tabell2[[#This Row],[Kvinneandel]]))</f>
        <v>0.10091965150048403</v>
      </c>
      <c r="R320" s="24">
        <f>IF(Tabell2[[#This Row],[Eldreandel]]&lt;=H$434,H$434,IF(Tabell2[[#This Row],[Eldreandel]]&gt;=H$435,H$435,Tabell2[[#This Row],[Eldreandel]]))</f>
        <v>0.18973862536302033</v>
      </c>
      <c r="S320" s="24">
        <f>IF(Tabell2[[#This Row],[Sysselsettingsvekst10]]&lt;=I$434,I$434,IF(Tabell2[[#This Row],[Sysselsettingsvekst10]]&gt;=I$435,I$435,Tabell2[[#This Row],[Sysselsettingsvekst10]]))</f>
        <v>-1.8832391713747842E-3</v>
      </c>
      <c r="T320" s="24">
        <f>IF(Tabell2[[#This Row],[Yrkesaktivandel]]&lt;=J$434,J$434,IF(Tabell2[[#This Row],[Yrkesaktivandel]]&gt;=J$435,J$435,Tabell2[[#This Row],[Yrkesaktivandel]]))</f>
        <v>0.91494050242397529</v>
      </c>
      <c r="U320" s="24">
        <f>IF(Tabell2[[#This Row],[Inntekt]]&lt;=K$434,K$434,IF(Tabell2[[#This Row],[Inntekt]]&gt;=K$435,K$435,Tabell2[[#This Row],[Inntekt]]))</f>
        <v>368800</v>
      </c>
      <c r="V320" s="7">
        <f>IF(Tabell2[[#This Row],[NIBR11-T]]&lt;=L$437,100,IF(Tabell2[[#This Row],[NIBR11-T]]&gt;=L$436,0,100*(L$436-Tabell2[[#This Row],[NIBR11-T]])/L$439))</f>
        <v>90</v>
      </c>
      <c r="W320" s="7">
        <f>(M$436-Tabell2[[#This Row],[ReisetidOslo-T]])*100/M$439</f>
        <v>41.289945155399067</v>
      </c>
      <c r="X320" s="7">
        <f>100-(N$436-Tabell2[[#This Row],[Beftettland-T]])*100/N$439</f>
        <v>1.6415677680276559</v>
      </c>
      <c r="Y320" s="7">
        <f>100-(O$436-Tabell2[[#This Row],[Beftettotal-T]])*100/O$439</f>
        <v>1.5524006698736486</v>
      </c>
      <c r="Z320" s="7">
        <f>100-(P$436-Tabell2[[#This Row],[Befvekst10-T]])*100/P$439</f>
        <v>48.487875468831213</v>
      </c>
      <c r="AA320" s="7">
        <f>100-(Q$436-Tabell2[[#This Row],[Kvinneandel-T]])*100/Q$439</f>
        <v>29.942712739866167</v>
      </c>
      <c r="AB320" s="7">
        <f>(R$436-Tabell2[[#This Row],[Eldreandel-T]])*100/R$439</f>
        <v>33.014767086975951</v>
      </c>
      <c r="AC320" s="7">
        <f>100-(S$436-Tabell2[[#This Row],[Sysselsettingsvekst10-T]])*100/S$439</f>
        <v>29.595810106236357</v>
      </c>
      <c r="AD320" s="7">
        <f>100-(T$436-Tabell2[[#This Row],[Yrkesaktivandel-T]])*100/T$439</f>
        <v>81.853746525192932</v>
      </c>
      <c r="AE320" s="7">
        <f>100-(U$436-Tabell2[[#This Row],[Inntekt-T]])*100/U$439</f>
        <v>27.525110032727682</v>
      </c>
      <c r="AF320" s="7">
        <v>18</v>
      </c>
      <c r="AG320" s="7">
        <v>4.1289945155399073</v>
      </c>
      <c r="AH320" s="7">
        <v>0.15524006698736487</v>
      </c>
      <c r="AI320" s="7">
        <v>9.6975750937662433</v>
      </c>
      <c r="AJ320" s="7">
        <v>1.4971356369933084</v>
      </c>
      <c r="AK320" s="7">
        <v>1.6507383543487977</v>
      </c>
      <c r="AL320" s="7">
        <v>2.9595810106236358</v>
      </c>
      <c r="AM320" s="7">
        <v>8.1853746525192932</v>
      </c>
      <c r="AN320" s="7">
        <v>2.7525110032727684</v>
      </c>
      <c r="AO32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49.027150334051314</v>
      </c>
    </row>
    <row r="321" spans="1:41" x14ac:dyDescent="0.3">
      <c r="A321" s="2" t="s">
        <v>318</v>
      </c>
      <c r="B321">
        <f>'Rådata-K'!N320</f>
        <v>11</v>
      </c>
      <c r="C321" s="7">
        <f>'Rådata-K'!M320</f>
        <v>204.9</v>
      </c>
      <c r="D321" s="24">
        <f>'Rådata-K'!O320</f>
        <v>0.6992260036481357</v>
      </c>
      <c r="E321" s="24">
        <f>'Rådata-K'!P320</f>
        <v>0.64022991099976678</v>
      </c>
      <c r="F321" s="24">
        <f>'Rådata-K'!Q320</f>
        <v>-2.6315789473684181E-2</v>
      </c>
      <c r="G321" s="24">
        <f>'Rådata-K'!R320</f>
        <v>0.10693301997649823</v>
      </c>
      <c r="H321" s="24">
        <f>'Rådata-K'!S320</f>
        <v>0.23266745005875442</v>
      </c>
      <c r="I321" s="24">
        <f>'Rådata-K'!T320</f>
        <v>3.5616438356164348E-2</v>
      </c>
      <c r="J321" s="24">
        <f>'Rådata-K'!U320</f>
        <v>0.96666666666666667</v>
      </c>
      <c r="K321" s="24">
        <f>'Rådata-K'!L320</f>
        <v>353600</v>
      </c>
      <c r="L321" s="24">
        <f>Tabell2[[#This Row],[NIBR11]]</f>
        <v>11</v>
      </c>
      <c r="M321" s="24">
        <f>IF(Tabell2[[#This Row],[ReisetidOslo]]&lt;=C$434,C$434,IF(Tabell2[[#This Row],[ReisetidOslo]]&gt;=C$435,C$435,Tabell2[[#This Row],[ReisetidOslo]]))</f>
        <v>204.9</v>
      </c>
      <c r="N321" s="24">
        <f>IF(Tabell2[[#This Row],[Beftettland]]&lt;=D$434,D$434,IF(Tabell2[[#This Row],[Beftettland]]&gt;=D$435,D$435,Tabell2[[#This Row],[Beftettland]]))</f>
        <v>1.4025423756281519</v>
      </c>
      <c r="O321" s="24">
        <f>IF(Tabell2[[#This Row],[Beftettotal]]&lt;=E$434,E$434,IF(Tabell2[[#This Row],[Beftettotal]]&gt;=E$435,E$435,Tabell2[[#This Row],[Beftettotal]]))</f>
        <v>1.3180632767674032</v>
      </c>
      <c r="P321" s="24">
        <f>IF(Tabell2[[#This Row],[Befvekst10]]&lt;=F$434,F$434,IF(Tabell2[[#This Row],[Befvekst10]]&gt;=F$435,F$435,Tabell2[[#This Row],[Befvekst10]]))</f>
        <v>-2.6315789473684181E-2</v>
      </c>
      <c r="Q321" s="24">
        <f>IF(Tabell2[[#This Row],[Kvinneandel]]&lt;=G$434,G$434,IF(Tabell2[[#This Row],[Kvinneandel]]&gt;=G$435,G$435,Tabell2[[#This Row],[Kvinneandel]]))</f>
        <v>0.10693301997649823</v>
      </c>
      <c r="R321" s="24">
        <f>IF(Tabell2[[#This Row],[Eldreandel]]&lt;=H$434,H$434,IF(Tabell2[[#This Row],[Eldreandel]]&gt;=H$435,H$435,Tabell2[[#This Row],[Eldreandel]]))</f>
        <v>0.22032896051974013</v>
      </c>
      <c r="S321" s="24">
        <f>IF(Tabell2[[#This Row],[Sysselsettingsvekst10]]&lt;=I$434,I$434,IF(Tabell2[[#This Row],[Sysselsettingsvekst10]]&gt;=I$435,I$435,Tabell2[[#This Row],[Sysselsettingsvekst10]]))</f>
        <v>3.5616438356164348E-2</v>
      </c>
      <c r="T321" s="24">
        <f>IF(Tabell2[[#This Row],[Yrkesaktivandel]]&lt;=J$434,J$434,IF(Tabell2[[#This Row],[Yrkesaktivandel]]&gt;=J$435,J$435,Tabell2[[#This Row],[Yrkesaktivandel]]))</f>
        <v>0.94066914614326791</v>
      </c>
      <c r="U321" s="24">
        <f>IF(Tabell2[[#This Row],[Inntekt]]&lt;=K$434,K$434,IF(Tabell2[[#This Row],[Inntekt]]&gt;=K$435,K$435,Tabell2[[#This Row],[Inntekt]]))</f>
        <v>353600</v>
      </c>
      <c r="V321" s="7">
        <f>IF(Tabell2[[#This Row],[NIBR11-T]]&lt;=L$437,100,IF(Tabell2[[#This Row],[NIBR11-T]]&gt;=L$436,0,100*(L$436-Tabell2[[#This Row],[NIBR11-T]])/L$439))</f>
        <v>0</v>
      </c>
      <c r="W321" s="7">
        <f>(M$436-Tabell2[[#This Row],[ReisetidOslo-T]])*100/M$439</f>
        <v>33.151005484467539</v>
      </c>
      <c r="X321" s="7">
        <f>100-(N$436-Tabell2[[#This Row],[Beftettland-T]])*100/N$439</f>
        <v>0</v>
      </c>
      <c r="Y321" s="7">
        <f>100-(O$436-Tabell2[[#This Row],[Beftettotal-T]])*100/O$439</f>
        <v>0</v>
      </c>
      <c r="Z321" s="7">
        <f>100-(P$436-Tabell2[[#This Row],[Befvekst10-T]])*100/P$439</f>
        <v>18.111872414896922</v>
      </c>
      <c r="AA321" s="7">
        <f>100-(Q$436-Tabell2[[#This Row],[Kvinneandel-T]])*100/Q$439</f>
        <v>45.740152065562633</v>
      </c>
      <c r="AB321" s="7">
        <f>(R$436-Tabell2[[#This Row],[Eldreandel-T]])*100/R$439</f>
        <v>0</v>
      </c>
      <c r="AC321" s="7">
        <f>100-(S$436-Tabell2[[#This Row],[Sysselsettingsvekst10-T]])*100/S$439</f>
        <v>41.833878648446344</v>
      </c>
      <c r="AD321" s="7">
        <f>100-(T$436-Tabell2[[#This Row],[Yrkesaktivandel-T]])*100/T$439</f>
        <v>100</v>
      </c>
      <c r="AE321" s="7">
        <f>100-(U$436-Tabell2[[#This Row],[Inntekt-T]])*100/U$439</f>
        <v>10.371289922130686</v>
      </c>
      <c r="AF321" s="7">
        <v>0</v>
      </c>
      <c r="AG321" s="7">
        <v>3.3151005484467539</v>
      </c>
      <c r="AH321" s="7">
        <v>0</v>
      </c>
      <c r="AI321" s="7">
        <v>3.6223744829793847</v>
      </c>
      <c r="AJ321" s="7">
        <v>2.2870076032781319</v>
      </c>
      <c r="AK321" s="7">
        <v>0</v>
      </c>
      <c r="AL321" s="7">
        <v>4.1833878648446348</v>
      </c>
      <c r="AM321" s="7">
        <v>10</v>
      </c>
      <c r="AN321" s="7">
        <v>1.0371289922130686</v>
      </c>
      <c r="AO32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24.444999491761976</v>
      </c>
    </row>
    <row r="322" spans="1:41" x14ac:dyDescent="0.3">
      <c r="A322" s="2" t="s">
        <v>319</v>
      </c>
      <c r="B322">
        <f>'Rådata-K'!N321</f>
        <v>6</v>
      </c>
      <c r="C322" s="7">
        <f>'Rådata-K'!M321</f>
        <v>227.3</v>
      </c>
      <c r="D322" s="24">
        <f>'Rådata-K'!O321</f>
        <v>15.309622548675055</v>
      </c>
      <c r="E322" s="24">
        <f>'Rådata-K'!P321</f>
        <v>13.922820743922628</v>
      </c>
      <c r="F322" s="24">
        <f>'Rådata-K'!Q321</f>
        <v>6.368120330126481E-2</v>
      </c>
      <c r="G322" s="24">
        <f>'Rådata-K'!R321</f>
        <v>0.11147330241953997</v>
      </c>
      <c r="H322" s="24">
        <f>'Rådata-K'!S321</f>
        <v>0.17547403700472888</v>
      </c>
      <c r="I322" s="24">
        <f>'Rådata-K'!T321</f>
        <v>8.6584989189745665E-2</v>
      </c>
      <c r="J322" s="24">
        <f>'Rådata-K'!U321</f>
        <v>0.85553824710994508</v>
      </c>
      <c r="K322" s="24">
        <f>'Rådata-K'!L321</f>
        <v>367000</v>
      </c>
      <c r="L322" s="24">
        <f>Tabell2[[#This Row],[NIBR11]]</f>
        <v>6</v>
      </c>
      <c r="M322" s="24">
        <f>IF(Tabell2[[#This Row],[ReisetidOslo]]&lt;=C$434,C$434,IF(Tabell2[[#This Row],[ReisetidOslo]]&gt;=C$435,C$435,Tabell2[[#This Row],[ReisetidOslo]]))</f>
        <v>227.3</v>
      </c>
      <c r="N322" s="24">
        <f>IF(Tabell2[[#This Row],[Beftettland]]&lt;=D$434,D$434,IF(Tabell2[[#This Row],[Beftettland]]&gt;=D$435,D$435,Tabell2[[#This Row],[Beftettland]]))</f>
        <v>15.309622548675055</v>
      </c>
      <c r="O322" s="24">
        <f>IF(Tabell2[[#This Row],[Beftettotal]]&lt;=E$434,E$434,IF(Tabell2[[#This Row],[Beftettotal]]&gt;=E$435,E$435,Tabell2[[#This Row],[Beftettotal]]))</f>
        <v>13.922820743922628</v>
      </c>
      <c r="P322" s="24">
        <f>IF(Tabell2[[#This Row],[Befvekst10]]&lt;=F$434,F$434,IF(Tabell2[[#This Row],[Befvekst10]]&gt;=F$435,F$435,Tabell2[[#This Row],[Befvekst10]]))</f>
        <v>6.368120330126481E-2</v>
      </c>
      <c r="Q322" s="24">
        <f>IF(Tabell2[[#This Row],[Kvinneandel]]&lt;=G$434,G$434,IF(Tabell2[[#This Row],[Kvinneandel]]&gt;=G$435,G$435,Tabell2[[#This Row],[Kvinneandel]]))</f>
        <v>0.11147330241953997</v>
      </c>
      <c r="R322" s="24">
        <f>IF(Tabell2[[#This Row],[Eldreandel]]&lt;=H$434,H$434,IF(Tabell2[[#This Row],[Eldreandel]]&gt;=H$435,H$435,Tabell2[[#This Row],[Eldreandel]]))</f>
        <v>0.17547403700472888</v>
      </c>
      <c r="S322" s="24">
        <f>IF(Tabell2[[#This Row],[Sysselsettingsvekst10]]&lt;=I$434,I$434,IF(Tabell2[[#This Row],[Sysselsettingsvekst10]]&gt;=I$435,I$435,Tabell2[[#This Row],[Sysselsettingsvekst10]]))</f>
        <v>8.6584989189745665E-2</v>
      </c>
      <c r="T322" s="24">
        <f>IF(Tabell2[[#This Row],[Yrkesaktivandel]]&lt;=J$434,J$434,IF(Tabell2[[#This Row],[Yrkesaktivandel]]&gt;=J$435,J$435,Tabell2[[#This Row],[Yrkesaktivandel]]))</f>
        <v>0.85553824710994508</v>
      </c>
      <c r="U322" s="24">
        <f>IF(Tabell2[[#This Row],[Inntekt]]&lt;=K$434,K$434,IF(Tabell2[[#This Row],[Inntekt]]&gt;=K$435,K$435,Tabell2[[#This Row],[Inntekt]]))</f>
        <v>367000</v>
      </c>
      <c r="V322" s="7">
        <f>IF(Tabell2[[#This Row],[NIBR11-T]]&lt;=L$437,100,IF(Tabell2[[#This Row],[NIBR11-T]]&gt;=L$436,0,100*(L$436-Tabell2[[#This Row],[NIBR11-T]])/L$439))</f>
        <v>50</v>
      </c>
      <c r="W322" s="7">
        <f>(M$436-Tabell2[[#This Row],[ReisetidOslo-T]])*100/M$439</f>
        <v>23.322851919569089</v>
      </c>
      <c r="X322" s="7">
        <f>100-(N$436-Tabell2[[#This Row],[Beftettland-T]])*100/N$439</f>
        <v>10.287119270940522</v>
      </c>
      <c r="Y322" s="7">
        <f>100-(O$436-Tabell2[[#This Row],[Beftettotal-T]])*100/O$439</f>
        <v>9.6481674736731406</v>
      </c>
      <c r="Z322" s="7">
        <f>100-(P$436-Tabell2[[#This Row],[Befvekst10-T]])*100/P$439</f>
        <v>54.539149862996553</v>
      </c>
      <c r="AA322" s="7">
        <f>100-(Q$436-Tabell2[[#This Row],[Kvinneandel-T]])*100/Q$439</f>
        <v>57.667715909615907</v>
      </c>
      <c r="AB322" s="7">
        <f>(R$436-Tabell2[[#This Row],[Eldreandel-T]])*100/R$439</f>
        <v>48.409893025539873</v>
      </c>
      <c r="AC322" s="7">
        <f>100-(S$436-Tabell2[[#This Row],[Sysselsettingsvekst10-T]])*100/S$439</f>
        <v>58.467531514938493</v>
      </c>
      <c r="AD322" s="7">
        <f>100-(T$436-Tabell2[[#This Row],[Yrkesaktivandel-T]])*100/T$439</f>
        <v>39.957702813595617</v>
      </c>
      <c r="AE322" s="7">
        <f>100-(U$436-Tabell2[[#This Row],[Inntekt-T]])*100/U$439</f>
        <v>25.493736598578039</v>
      </c>
      <c r="AF322" s="7">
        <v>10</v>
      </c>
      <c r="AG322" s="7">
        <v>2.3322851919569092</v>
      </c>
      <c r="AH322" s="7">
        <v>0.96481674736731415</v>
      </c>
      <c r="AI322" s="7">
        <v>10.907829972599311</v>
      </c>
      <c r="AJ322" s="7">
        <v>2.8833857954807955</v>
      </c>
      <c r="AK322" s="7">
        <v>2.4204946512769938</v>
      </c>
      <c r="AL322" s="7">
        <v>5.84675315149385</v>
      </c>
      <c r="AM322" s="7">
        <v>3.9957702813595617</v>
      </c>
      <c r="AN322" s="7">
        <v>2.5493736598578041</v>
      </c>
      <c r="AO32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41.900709451392537</v>
      </c>
    </row>
    <row r="323" spans="1:41" x14ac:dyDescent="0.3">
      <c r="A323" s="2" t="s">
        <v>320</v>
      </c>
      <c r="B323">
        <f>'Rådata-K'!N322</f>
        <v>6</v>
      </c>
      <c r="C323" s="7">
        <f>'Rådata-K'!M322</f>
        <v>214.6</v>
      </c>
      <c r="D323" s="24">
        <f>'Rådata-K'!O322</f>
        <v>17.320800937267016</v>
      </c>
      <c r="E323" s="24">
        <f>'Rådata-K'!P322</f>
        <v>16.739362591834897</v>
      </c>
      <c r="F323" s="24">
        <f>'Rådata-K'!Q322</f>
        <v>3.467472562430407E-2</v>
      </c>
      <c r="G323" s="24">
        <f>'Rådata-K'!R322</f>
        <v>0.11998462720983859</v>
      </c>
      <c r="H323" s="24">
        <f>'Rådata-K'!S322</f>
        <v>0.15495772482705611</v>
      </c>
      <c r="I323" s="24">
        <f>'Rådata-K'!T322</f>
        <v>4.4359171143514953E-2</v>
      </c>
      <c r="J323" s="24">
        <f>'Rådata-K'!U322</f>
        <v>0.87029689423997814</v>
      </c>
      <c r="K323" s="24">
        <f>'Rådata-K'!L322</f>
        <v>374600</v>
      </c>
      <c r="L323" s="24">
        <f>Tabell2[[#This Row],[NIBR11]]</f>
        <v>6</v>
      </c>
      <c r="M323" s="24">
        <f>IF(Tabell2[[#This Row],[ReisetidOslo]]&lt;=C$434,C$434,IF(Tabell2[[#This Row],[ReisetidOslo]]&gt;=C$435,C$435,Tabell2[[#This Row],[ReisetidOslo]]))</f>
        <v>214.6</v>
      </c>
      <c r="N323" s="24">
        <f>IF(Tabell2[[#This Row],[Beftettland]]&lt;=D$434,D$434,IF(Tabell2[[#This Row],[Beftettland]]&gt;=D$435,D$435,Tabell2[[#This Row],[Beftettland]]))</f>
        <v>17.320800937267016</v>
      </c>
      <c r="O323" s="24">
        <f>IF(Tabell2[[#This Row],[Beftettotal]]&lt;=E$434,E$434,IF(Tabell2[[#This Row],[Beftettotal]]&gt;=E$435,E$435,Tabell2[[#This Row],[Beftettotal]]))</f>
        <v>16.739362591834897</v>
      </c>
      <c r="P323" s="24">
        <f>IF(Tabell2[[#This Row],[Befvekst10]]&lt;=F$434,F$434,IF(Tabell2[[#This Row],[Befvekst10]]&gt;=F$435,F$435,Tabell2[[#This Row],[Befvekst10]]))</f>
        <v>3.467472562430407E-2</v>
      </c>
      <c r="Q323" s="24">
        <f>IF(Tabell2[[#This Row],[Kvinneandel]]&lt;=G$434,G$434,IF(Tabell2[[#This Row],[Kvinneandel]]&gt;=G$435,G$435,Tabell2[[#This Row],[Kvinneandel]]))</f>
        <v>0.11998462720983859</v>
      </c>
      <c r="R323" s="24">
        <f>IF(Tabell2[[#This Row],[Eldreandel]]&lt;=H$434,H$434,IF(Tabell2[[#This Row],[Eldreandel]]&gt;=H$435,H$435,Tabell2[[#This Row],[Eldreandel]]))</f>
        <v>0.15495772482705611</v>
      </c>
      <c r="S323" s="24">
        <f>IF(Tabell2[[#This Row],[Sysselsettingsvekst10]]&lt;=I$434,I$434,IF(Tabell2[[#This Row],[Sysselsettingsvekst10]]&gt;=I$435,I$435,Tabell2[[#This Row],[Sysselsettingsvekst10]]))</f>
        <v>4.4359171143514953E-2</v>
      </c>
      <c r="T323" s="24">
        <f>IF(Tabell2[[#This Row],[Yrkesaktivandel]]&lt;=J$434,J$434,IF(Tabell2[[#This Row],[Yrkesaktivandel]]&gt;=J$435,J$435,Tabell2[[#This Row],[Yrkesaktivandel]]))</f>
        <v>0.87029689423997814</v>
      </c>
      <c r="U323" s="24">
        <f>IF(Tabell2[[#This Row],[Inntekt]]&lt;=K$434,K$434,IF(Tabell2[[#This Row],[Inntekt]]&gt;=K$435,K$435,Tabell2[[#This Row],[Inntekt]]))</f>
        <v>374600</v>
      </c>
      <c r="V323" s="7">
        <f>IF(Tabell2[[#This Row],[NIBR11-T]]&lt;=L$437,100,IF(Tabell2[[#This Row],[NIBR11-T]]&gt;=L$436,0,100*(L$436-Tabell2[[#This Row],[NIBR11-T]])/L$439))</f>
        <v>50</v>
      </c>
      <c r="W323" s="7">
        <f>(M$436-Tabell2[[#This Row],[ReisetidOslo-T]])*100/M$439</f>
        <v>28.895063985382055</v>
      </c>
      <c r="X323" s="7">
        <f>100-(N$436-Tabell2[[#This Row],[Beftettland-T]])*100/N$439</f>
        <v>11.774795454664613</v>
      </c>
      <c r="Y323" s="7">
        <f>100-(O$436-Tabell2[[#This Row],[Beftettotal-T]])*100/O$439</f>
        <v>11.804057225306678</v>
      </c>
      <c r="Z323" s="7">
        <f>100-(P$436-Tabell2[[#This Row],[Befvekst10-T]])*100/P$439</f>
        <v>42.798457451495516</v>
      </c>
      <c r="AA323" s="7">
        <f>100-(Q$436-Tabell2[[#This Row],[Kvinneandel-T]])*100/Q$439</f>
        <v>80.027419542006626</v>
      </c>
      <c r="AB323" s="7">
        <f>(R$436-Tabell2[[#This Row],[Eldreandel-T]])*100/R$439</f>
        <v>70.552222116065153</v>
      </c>
      <c r="AC323" s="7">
        <f>100-(S$436-Tabell2[[#This Row],[Sysselsettingsvekst10-T]])*100/S$439</f>
        <v>44.687080866498718</v>
      </c>
      <c r="AD323" s="7">
        <f>100-(T$436-Tabell2[[#This Row],[Yrkesaktivandel-T]])*100/T$439</f>
        <v>50.366885461882411</v>
      </c>
      <c r="AE323" s="7">
        <f>100-(U$436-Tabell2[[#This Row],[Inntekt-T]])*100/U$439</f>
        <v>34.070646653876537</v>
      </c>
      <c r="AF323" s="7">
        <v>10</v>
      </c>
      <c r="AG323" s="7">
        <v>2.8895063985382059</v>
      </c>
      <c r="AH323" s="7">
        <v>1.1804057225306679</v>
      </c>
      <c r="AI323" s="7">
        <v>8.5596914902991035</v>
      </c>
      <c r="AJ323" s="7">
        <v>4.0013709771003318</v>
      </c>
      <c r="AK323" s="7">
        <v>3.527611105803258</v>
      </c>
      <c r="AL323" s="7">
        <v>4.4687080866498716</v>
      </c>
      <c r="AM323" s="7">
        <v>5.0366885461882411</v>
      </c>
      <c r="AN323" s="7">
        <v>3.407064665387654</v>
      </c>
      <c r="AO32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43.07104699249733</v>
      </c>
    </row>
    <row r="324" spans="1:41" x14ac:dyDescent="0.3">
      <c r="A324" s="2" t="s">
        <v>321</v>
      </c>
      <c r="B324">
        <f>'Rådata-K'!N323</f>
        <v>5</v>
      </c>
      <c r="C324" s="7">
        <f>'Rådata-K'!M323</f>
        <v>197.0833333333</v>
      </c>
      <c r="D324" s="24">
        <f>'Rådata-K'!O323</f>
        <v>2.1232369475207862</v>
      </c>
      <c r="E324" s="24">
        <f>'Rådata-K'!P323</f>
        <v>1.9812787611314413</v>
      </c>
      <c r="F324" s="24">
        <f>'Rådata-K'!Q323</f>
        <v>-3.1608060055313691E-3</v>
      </c>
      <c r="G324" s="24">
        <f>'Rådata-K'!R323</f>
        <v>0.10622275069361871</v>
      </c>
      <c r="H324" s="24">
        <f>'Rådata-K'!S323</f>
        <v>0.19738406658739596</v>
      </c>
      <c r="I324" s="24">
        <f>'Rådata-K'!T323</f>
        <v>-7.3457394711067603E-2</v>
      </c>
      <c r="J324" s="24">
        <f>'Rådata-K'!U323</f>
        <v>0.82548877624909489</v>
      </c>
      <c r="K324" s="24">
        <f>'Rådata-K'!L323</f>
        <v>322500</v>
      </c>
      <c r="L324" s="24">
        <f>Tabell2[[#This Row],[NIBR11]]</f>
        <v>5</v>
      </c>
      <c r="M324" s="24">
        <f>IF(Tabell2[[#This Row],[ReisetidOslo]]&lt;=C$434,C$434,IF(Tabell2[[#This Row],[ReisetidOslo]]&gt;=C$435,C$435,Tabell2[[#This Row],[ReisetidOslo]]))</f>
        <v>197.0833333333</v>
      </c>
      <c r="N324" s="24">
        <f>IF(Tabell2[[#This Row],[Beftettland]]&lt;=D$434,D$434,IF(Tabell2[[#This Row],[Beftettland]]&gt;=D$435,D$435,Tabell2[[#This Row],[Beftettland]]))</f>
        <v>2.1232369475207862</v>
      </c>
      <c r="O324" s="24">
        <f>IF(Tabell2[[#This Row],[Beftettotal]]&lt;=E$434,E$434,IF(Tabell2[[#This Row],[Beftettotal]]&gt;=E$435,E$435,Tabell2[[#This Row],[Beftettotal]]))</f>
        <v>1.9812787611314413</v>
      </c>
      <c r="P324" s="24">
        <f>IF(Tabell2[[#This Row],[Befvekst10]]&lt;=F$434,F$434,IF(Tabell2[[#This Row],[Befvekst10]]&gt;=F$435,F$435,Tabell2[[#This Row],[Befvekst10]]))</f>
        <v>-3.1608060055313691E-3</v>
      </c>
      <c r="Q324" s="24">
        <f>IF(Tabell2[[#This Row],[Kvinneandel]]&lt;=G$434,G$434,IF(Tabell2[[#This Row],[Kvinneandel]]&gt;=G$435,G$435,Tabell2[[#This Row],[Kvinneandel]]))</f>
        <v>0.10622275069361871</v>
      </c>
      <c r="R324" s="24">
        <f>IF(Tabell2[[#This Row],[Eldreandel]]&lt;=H$434,H$434,IF(Tabell2[[#This Row],[Eldreandel]]&gt;=H$435,H$435,Tabell2[[#This Row],[Eldreandel]]))</f>
        <v>0.19738406658739596</v>
      </c>
      <c r="S324" s="24">
        <f>IF(Tabell2[[#This Row],[Sysselsettingsvekst10]]&lt;=I$434,I$434,IF(Tabell2[[#This Row],[Sysselsettingsvekst10]]&gt;=I$435,I$435,Tabell2[[#This Row],[Sysselsettingsvekst10]]))</f>
        <v>-7.3457394711067603E-2</v>
      </c>
      <c r="T324" s="24">
        <f>IF(Tabell2[[#This Row],[Yrkesaktivandel]]&lt;=J$434,J$434,IF(Tabell2[[#This Row],[Yrkesaktivandel]]&gt;=J$435,J$435,Tabell2[[#This Row],[Yrkesaktivandel]]))</f>
        <v>0.82548877624909489</v>
      </c>
      <c r="U324" s="24">
        <f>IF(Tabell2[[#This Row],[Inntekt]]&lt;=K$434,K$434,IF(Tabell2[[#This Row],[Inntekt]]&gt;=K$435,K$435,Tabell2[[#This Row],[Inntekt]]))</f>
        <v>344410</v>
      </c>
      <c r="V324" s="7">
        <f>IF(Tabell2[[#This Row],[NIBR11-T]]&lt;=L$437,100,IF(Tabell2[[#This Row],[NIBR11-T]]&gt;=L$436,0,100*(L$436-Tabell2[[#This Row],[NIBR11-T]])/L$439))</f>
        <v>60</v>
      </c>
      <c r="W324" s="7">
        <f>(M$436-Tabell2[[#This Row],[ReisetidOslo-T]])*100/M$439</f>
        <v>36.580621572233184</v>
      </c>
      <c r="X324" s="7">
        <f>100-(N$436-Tabell2[[#This Row],[Beftettland-T]])*100/N$439</f>
        <v>0.5331004730488047</v>
      </c>
      <c r="Y324" s="7">
        <f>100-(O$436-Tabell2[[#This Row],[Beftettotal-T]])*100/O$439</f>
        <v>0.50765070894473752</v>
      </c>
      <c r="Z324" s="7">
        <f>100-(P$436-Tabell2[[#This Row],[Befvekst10-T]])*100/P$439</f>
        <v>27.484107876250548</v>
      </c>
      <c r="AA324" s="7">
        <f>100-(Q$436-Tabell2[[#This Row],[Kvinneandel-T]])*100/Q$439</f>
        <v>43.874236822558537</v>
      </c>
      <c r="AB324" s="7">
        <f>(R$436-Tabell2[[#This Row],[Eldreandel-T]])*100/R$439</f>
        <v>24.763387688653861</v>
      </c>
      <c r="AC324" s="7">
        <f>100-(S$436-Tabell2[[#This Row],[Sysselsettingsvekst10-T]])*100/S$439</f>
        <v>6.2374913393005187</v>
      </c>
      <c r="AD324" s="7">
        <f>100-(T$436-Tabell2[[#This Row],[Yrkesaktivandel-T]])*100/T$439</f>
        <v>18.763996648045406</v>
      </c>
      <c r="AE324" s="7">
        <f>100-(U$436-Tabell2[[#This Row],[Inntekt-T]])*100/U$439</f>
        <v>0</v>
      </c>
      <c r="AF324" s="7">
        <v>12</v>
      </c>
      <c r="AG324" s="7">
        <v>3.6580621572233185</v>
      </c>
      <c r="AH324" s="7">
        <v>5.0765070894473754E-2</v>
      </c>
      <c r="AI324" s="7">
        <v>5.4968215752501095</v>
      </c>
      <c r="AJ324" s="7">
        <v>2.1937118411279268</v>
      </c>
      <c r="AK324" s="7">
        <v>1.2381693844326931</v>
      </c>
      <c r="AL324" s="7">
        <v>0.62374913393005194</v>
      </c>
      <c r="AM324" s="7">
        <v>1.8763996648045407</v>
      </c>
      <c r="AN324" s="7">
        <v>0</v>
      </c>
      <c r="AO32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27.137678827663116</v>
      </c>
    </row>
    <row r="325" spans="1:41" x14ac:dyDescent="0.3">
      <c r="A325" s="2" t="s">
        <v>322</v>
      </c>
      <c r="B325">
        <f>'Rådata-K'!N324</f>
        <v>2</v>
      </c>
      <c r="C325" s="7">
        <f>'Rådata-K'!M324</f>
        <v>157.71666666666999</v>
      </c>
      <c r="D325" s="24">
        <f>'Rådata-K'!O324</f>
        <v>25.510583805792091</v>
      </c>
      <c r="E325" s="24">
        <f>'Rådata-K'!P324</f>
        <v>24.843316989980817</v>
      </c>
      <c r="F325" s="24">
        <f>'Rådata-K'!Q324</f>
        <v>0.17172732756887199</v>
      </c>
      <c r="G325" s="24">
        <f>'Rådata-K'!R324</f>
        <v>0.11463875064355586</v>
      </c>
      <c r="H325" s="24">
        <f>'Rådata-K'!S324</f>
        <v>0.14720267719238031</v>
      </c>
      <c r="I325" s="24">
        <f>'Rådata-K'!T324</f>
        <v>0.22124393272378362</v>
      </c>
      <c r="J325" s="24">
        <f>'Rådata-K'!U324</f>
        <v>0.86287271076131378</v>
      </c>
      <c r="K325" s="24">
        <f>'Rådata-K'!L324</f>
        <v>395900</v>
      </c>
      <c r="L325" s="24">
        <f>Tabell2[[#This Row],[NIBR11]]</f>
        <v>2</v>
      </c>
      <c r="M325" s="24">
        <f>IF(Tabell2[[#This Row],[ReisetidOslo]]&lt;=C$434,C$434,IF(Tabell2[[#This Row],[ReisetidOslo]]&gt;=C$435,C$435,Tabell2[[#This Row],[ReisetidOslo]]))</f>
        <v>157.71666666666999</v>
      </c>
      <c r="N325" s="24">
        <f>IF(Tabell2[[#This Row],[Beftettland]]&lt;=D$434,D$434,IF(Tabell2[[#This Row],[Beftettland]]&gt;=D$435,D$435,Tabell2[[#This Row],[Beftettland]]))</f>
        <v>25.510583805792091</v>
      </c>
      <c r="O325" s="24">
        <f>IF(Tabell2[[#This Row],[Beftettotal]]&lt;=E$434,E$434,IF(Tabell2[[#This Row],[Beftettotal]]&gt;=E$435,E$435,Tabell2[[#This Row],[Beftettotal]]))</f>
        <v>24.843316989980817</v>
      </c>
      <c r="P325" s="24">
        <f>IF(Tabell2[[#This Row],[Befvekst10]]&lt;=F$434,F$434,IF(Tabell2[[#This Row],[Befvekst10]]&gt;=F$435,F$435,Tabell2[[#This Row],[Befvekst10]]))</f>
        <v>0.17172732756887199</v>
      </c>
      <c r="Q325" s="24">
        <f>IF(Tabell2[[#This Row],[Kvinneandel]]&lt;=G$434,G$434,IF(Tabell2[[#This Row],[Kvinneandel]]&gt;=G$435,G$435,Tabell2[[#This Row],[Kvinneandel]]))</f>
        <v>0.11463875064355586</v>
      </c>
      <c r="R325" s="24">
        <f>IF(Tabell2[[#This Row],[Eldreandel]]&lt;=H$434,H$434,IF(Tabell2[[#This Row],[Eldreandel]]&gt;=H$435,H$435,Tabell2[[#This Row],[Eldreandel]]))</f>
        <v>0.14720267719238031</v>
      </c>
      <c r="S325" s="24">
        <f>IF(Tabell2[[#This Row],[Sysselsettingsvekst10]]&lt;=I$434,I$434,IF(Tabell2[[#This Row],[Sysselsettingsvekst10]]&gt;=I$435,I$435,Tabell2[[#This Row],[Sysselsettingsvekst10]]))</f>
        <v>0.21384805931725109</v>
      </c>
      <c r="T325" s="24">
        <f>IF(Tabell2[[#This Row],[Yrkesaktivandel]]&lt;=J$434,J$434,IF(Tabell2[[#This Row],[Yrkesaktivandel]]&gt;=J$435,J$435,Tabell2[[#This Row],[Yrkesaktivandel]]))</f>
        <v>0.86287271076131378</v>
      </c>
      <c r="U325" s="24">
        <f>IF(Tabell2[[#This Row],[Inntekt]]&lt;=K$434,K$434,IF(Tabell2[[#This Row],[Inntekt]]&gt;=K$435,K$435,Tabell2[[#This Row],[Inntekt]]))</f>
        <v>395900</v>
      </c>
      <c r="V325" s="7">
        <f>IF(Tabell2[[#This Row],[NIBR11-T]]&lt;=L$437,100,IF(Tabell2[[#This Row],[NIBR11-T]]&gt;=L$436,0,100*(L$436-Tabell2[[#This Row],[NIBR11-T]])/L$439))</f>
        <v>90</v>
      </c>
      <c r="W325" s="7">
        <f>(M$436-Tabell2[[#This Row],[ReisetidOslo-T]])*100/M$439</f>
        <v>53.853016453385344</v>
      </c>
      <c r="X325" s="7">
        <f>100-(N$436-Tabell2[[#This Row],[Beftettland-T]])*100/N$439</f>
        <v>17.832808504370405</v>
      </c>
      <c r="Y325" s="7">
        <f>100-(O$436-Tabell2[[#This Row],[Beftettotal-T]])*100/O$439</f>
        <v>18.007136454404161</v>
      </c>
      <c r="Z325" s="7">
        <f>100-(P$436-Tabell2[[#This Row],[Befvekst10-T]])*100/P$439</f>
        <v>98.272012756872371</v>
      </c>
      <c r="AA325" s="7">
        <f>100-(Q$436-Tabell2[[#This Row],[Kvinneandel-T]])*100/Q$439</f>
        <v>65.983517021253391</v>
      </c>
      <c r="AB325" s="7">
        <f>(R$436-Tabell2[[#This Row],[Eldreandel-T]])*100/R$439</f>
        <v>78.921894762524616</v>
      </c>
      <c r="AC325" s="7">
        <f>100-(S$436-Tabell2[[#This Row],[Sysselsettingsvekst10-T]])*100/S$439</f>
        <v>100</v>
      </c>
      <c r="AD325" s="7">
        <f>100-(T$436-Tabell2[[#This Row],[Yrkesaktivandel-T]])*100/T$439</f>
        <v>45.130654717768294</v>
      </c>
      <c r="AE325" s="7">
        <f>100-(U$436-Tabell2[[#This Row],[Inntekt-T]])*100/U$439</f>
        <v>58.108565624647333</v>
      </c>
      <c r="AF325" s="7">
        <v>18</v>
      </c>
      <c r="AG325" s="7">
        <v>5.3853016453385347</v>
      </c>
      <c r="AH325" s="7">
        <v>1.8007136454404162</v>
      </c>
      <c r="AI325" s="7">
        <v>19.654402551374474</v>
      </c>
      <c r="AJ325" s="7">
        <v>3.2991758510626696</v>
      </c>
      <c r="AK325" s="7">
        <v>3.9460947381262308</v>
      </c>
      <c r="AL325" s="7">
        <v>10</v>
      </c>
      <c r="AM325" s="7">
        <v>4.5130654717768293</v>
      </c>
      <c r="AN325" s="7">
        <v>5.8108565624647337</v>
      </c>
      <c r="AO32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72.409610465583896</v>
      </c>
    </row>
    <row r="326" spans="1:41" x14ac:dyDescent="0.3">
      <c r="A326" s="2" t="s">
        <v>323</v>
      </c>
      <c r="B326">
        <f>'Rådata-K'!N325</f>
        <v>5</v>
      </c>
      <c r="C326" s="7">
        <f>'Rådata-K'!M325</f>
        <v>190.23333333330001</v>
      </c>
      <c r="D326" s="24">
        <f>'Rådata-K'!O325</f>
        <v>35.420032310177703</v>
      </c>
      <c r="E326" s="24">
        <f>'Rådata-K'!P325</f>
        <v>34.473270440251568</v>
      </c>
      <c r="F326" s="24">
        <f>'Rådata-K'!Q325</f>
        <v>6.6477503040129671E-2</v>
      </c>
      <c r="G326" s="24">
        <f>'Rådata-K'!R325</f>
        <v>0.1064234131508932</v>
      </c>
      <c r="H326" s="24">
        <f>'Rådata-K'!S325</f>
        <v>0.18814139110604333</v>
      </c>
      <c r="I326" s="24">
        <f>'Rådata-K'!T325</f>
        <v>1.4908256880733939E-2</v>
      </c>
      <c r="J326" s="24">
        <f>'Rådata-K'!U325</f>
        <v>0.8323943661971831</v>
      </c>
      <c r="K326" s="24">
        <f>'Rådata-K'!L325</f>
        <v>336500</v>
      </c>
      <c r="L326" s="24">
        <f>Tabell2[[#This Row],[NIBR11]]</f>
        <v>5</v>
      </c>
      <c r="M326" s="24">
        <f>IF(Tabell2[[#This Row],[ReisetidOslo]]&lt;=C$434,C$434,IF(Tabell2[[#This Row],[ReisetidOslo]]&gt;=C$435,C$435,Tabell2[[#This Row],[ReisetidOslo]]))</f>
        <v>190.23333333330001</v>
      </c>
      <c r="N326" s="24">
        <f>IF(Tabell2[[#This Row],[Beftettland]]&lt;=D$434,D$434,IF(Tabell2[[#This Row],[Beftettland]]&gt;=D$435,D$435,Tabell2[[#This Row],[Beftettland]]))</f>
        <v>35.420032310177703</v>
      </c>
      <c r="O326" s="24">
        <f>IF(Tabell2[[#This Row],[Beftettotal]]&lt;=E$434,E$434,IF(Tabell2[[#This Row],[Beftettotal]]&gt;=E$435,E$435,Tabell2[[#This Row],[Beftettotal]]))</f>
        <v>34.473270440251568</v>
      </c>
      <c r="P326" s="24">
        <f>IF(Tabell2[[#This Row],[Befvekst10]]&lt;=F$434,F$434,IF(Tabell2[[#This Row],[Befvekst10]]&gt;=F$435,F$435,Tabell2[[#This Row],[Befvekst10]]))</f>
        <v>6.6477503040129671E-2</v>
      </c>
      <c r="Q326" s="24">
        <f>IF(Tabell2[[#This Row],[Kvinneandel]]&lt;=G$434,G$434,IF(Tabell2[[#This Row],[Kvinneandel]]&gt;=G$435,G$435,Tabell2[[#This Row],[Kvinneandel]]))</f>
        <v>0.1064234131508932</v>
      </c>
      <c r="R326" s="24">
        <f>IF(Tabell2[[#This Row],[Eldreandel]]&lt;=H$434,H$434,IF(Tabell2[[#This Row],[Eldreandel]]&gt;=H$435,H$435,Tabell2[[#This Row],[Eldreandel]]))</f>
        <v>0.18814139110604333</v>
      </c>
      <c r="S326" s="24">
        <f>IF(Tabell2[[#This Row],[Sysselsettingsvekst10]]&lt;=I$434,I$434,IF(Tabell2[[#This Row],[Sysselsettingsvekst10]]&gt;=I$435,I$435,Tabell2[[#This Row],[Sysselsettingsvekst10]]))</f>
        <v>1.4908256880733939E-2</v>
      </c>
      <c r="T326" s="24">
        <f>IF(Tabell2[[#This Row],[Yrkesaktivandel]]&lt;=J$434,J$434,IF(Tabell2[[#This Row],[Yrkesaktivandel]]&gt;=J$435,J$435,Tabell2[[#This Row],[Yrkesaktivandel]]))</f>
        <v>0.8323943661971831</v>
      </c>
      <c r="U326" s="24">
        <f>IF(Tabell2[[#This Row],[Inntekt]]&lt;=K$434,K$434,IF(Tabell2[[#This Row],[Inntekt]]&gt;=K$435,K$435,Tabell2[[#This Row],[Inntekt]]))</f>
        <v>344410</v>
      </c>
      <c r="V326" s="7">
        <f>IF(Tabell2[[#This Row],[NIBR11-T]]&lt;=L$437,100,IF(Tabell2[[#This Row],[NIBR11-T]]&gt;=L$436,0,100*(L$436-Tabell2[[#This Row],[NIBR11-T]])/L$439))</f>
        <v>60</v>
      </c>
      <c r="W326" s="7">
        <f>(M$436-Tabell2[[#This Row],[ReisetidOslo-T]])*100/M$439</f>
        <v>39.586106032927574</v>
      </c>
      <c r="X326" s="7">
        <f>100-(N$436-Tabell2[[#This Row],[Beftettland-T]])*100/N$439</f>
        <v>25.162864663205639</v>
      </c>
      <c r="Y326" s="7">
        <f>100-(O$436-Tabell2[[#This Row],[Beftettotal-T]])*100/O$439</f>
        <v>25.378274208858528</v>
      </c>
      <c r="Z326" s="7">
        <f>100-(P$436-Tabell2[[#This Row],[Befvekst10-T]])*100/P$439</f>
        <v>55.670983086251013</v>
      </c>
      <c r="AA326" s="7">
        <f>100-(Q$436-Tabell2[[#This Row],[Kvinneandel-T]])*100/Q$439</f>
        <v>44.401387787343587</v>
      </c>
      <c r="AB326" s="7">
        <f>(R$436-Tabell2[[#This Row],[Eldreandel-T]])*100/R$439</f>
        <v>34.738589879608902</v>
      </c>
      <c r="AC326" s="7">
        <f>100-(S$436-Tabell2[[#This Row],[Sysselsettingsvekst10-T]])*100/S$439</f>
        <v>35.075736685899415</v>
      </c>
      <c r="AD326" s="7">
        <f>100-(T$436-Tabell2[[#This Row],[Yrkesaktivandel-T]])*100/T$439</f>
        <v>23.634466578690237</v>
      </c>
      <c r="AE326" s="7">
        <f>100-(U$436-Tabell2[[#This Row],[Inntekt-T]])*100/U$439</f>
        <v>0</v>
      </c>
      <c r="AF326" s="7">
        <v>12</v>
      </c>
      <c r="AG326" s="7">
        <v>3.9586106032927577</v>
      </c>
      <c r="AH326" s="7">
        <v>2.5378274208858529</v>
      </c>
      <c r="AI326" s="7">
        <v>11.134196617250204</v>
      </c>
      <c r="AJ326" s="7">
        <v>2.2200693893671795</v>
      </c>
      <c r="AK326" s="7">
        <v>1.7369294939804452</v>
      </c>
      <c r="AL326" s="7">
        <v>3.5075736685899415</v>
      </c>
      <c r="AM326" s="7">
        <v>2.3634466578690239</v>
      </c>
      <c r="AN326" s="7">
        <v>0</v>
      </c>
      <c r="AO32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39.458653851235411</v>
      </c>
    </row>
    <row r="327" spans="1:41" x14ac:dyDescent="0.3">
      <c r="A327" s="2" t="s">
        <v>324</v>
      </c>
      <c r="B327">
        <f>'Rådata-K'!N326</f>
        <v>2</v>
      </c>
      <c r="C327" s="7">
        <f>'Rådata-K'!M326</f>
        <v>250.48333333329998</v>
      </c>
      <c r="D327" s="24">
        <f>'Rådata-K'!O326</f>
        <v>8.8343466186294375</v>
      </c>
      <c r="E327" s="24">
        <f>'Rådata-K'!P326</f>
        <v>8.2076195346458718</v>
      </c>
      <c r="F327" s="24">
        <f>'Rådata-K'!Q326</f>
        <v>1.0011441647597152E-2</v>
      </c>
      <c r="G327" s="24">
        <f>'Rådata-K'!R326</f>
        <v>0.1059190031152648</v>
      </c>
      <c r="H327" s="24">
        <f>'Rådata-K'!S326</f>
        <v>0.18974794675729256</v>
      </c>
      <c r="I327" s="24">
        <f>'Rådata-K'!T326</f>
        <v>-1.3623978201634857E-2</v>
      </c>
      <c r="J327" s="24">
        <f>'Rådata-K'!U326</f>
        <v>0.88138297872340421</v>
      </c>
      <c r="K327" s="24">
        <f>'Rådata-K'!L326</f>
        <v>360300</v>
      </c>
      <c r="L327" s="24">
        <f>Tabell2[[#This Row],[NIBR11]]</f>
        <v>2</v>
      </c>
      <c r="M327" s="24">
        <f>IF(Tabell2[[#This Row],[ReisetidOslo]]&lt;=C$434,C$434,IF(Tabell2[[#This Row],[ReisetidOslo]]&gt;=C$435,C$435,Tabell2[[#This Row],[ReisetidOslo]]))</f>
        <v>250.48333333329998</v>
      </c>
      <c r="N327" s="24">
        <f>IF(Tabell2[[#This Row],[Beftettland]]&lt;=D$434,D$434,IF(Tabell2[[#This Row],[Beftettland]]&gt;=D$435,D$435,Tabell2[[#This Row],[Beftettland]]))</f>
        <v>8.8343466186294375</v>
      </c>
      <c r="O327" s="24">
        <f>IF(Tabell2[[#This Row],[Beftettotal]]&lt;=E$434,E$434,IF(Tabell2[[#This Row],[Beftettotal]]&gt;=E$435,E$435,Tabell2[[#This Row],[Beftettotal]]))</f>
        <v>8.2076195346458718</v>
      </c>
      <c r="P327" s="24">
        <f>IF(Tabell2[[#This Row],[Befvekst10]]&lt;=F$434,F$434,IF(Tabell2[[#This Row],[Befvekst10]]&gt;=F$435,F$435,Tabell2[[#This Row],[Befvekst10]]))</f>
        <v>1.0011441647597152E-2</v>
      </c>
      <c r="Q327" s="24">
        <f>IF(Tabell2[[#This Row],[Kvinneandel]]&lt;=G$434,G$434,IF(Tabell2[[#This Row],[Kvinneandel]]&gt;=G$435,G$435,Tabell2[[#This Row],[Kvinneandel]]))</f>
        <v>0.1059190031152648</v>
      </c>
      <c r="R327" s="24">
        <f>IF(Tabell2[[#This Row],[Eldreandel]]&lt;=H$434,H$434,IF(Tabell2[[#This Row],[Eldreandel]]&gt;=H$435,H$435,Tabell2[[#This Row],[Eldreandel]]))</f>
        <v>0.18974794675729256</v>
      </c>
      <c r="S327" s="24">
        <f>IF(Tabell2[[#This Row],[Sysselsettingsvekst10]]&lt;=I$434,I$434,IF(Tabell2[[#This Row],[Sysselsettingsvekst10]]&gt;=I$435,I$435,Tabell2[[#This Row],[Sysselsettingsvekst10]]))</f>
        <v>-1.3623978201634857E-2</v>
      </c>
      <c r="T327" s="24">
        <f>IF(Tabell2[[#This Row],[Yrkesaktivandel]]&lt;=J$434,J$434,IF(Tabell2[[#This Row],[Yrkesaktivandel]]&gt;=J$435,J$435,Tabell2[[#This Row],[Yrkesaktivandel]]))</f>
        <v>0.88138297872340421</v>
      </c>
      <c r="U327" s="24">
        <f>IF(Tabell2[[#This Row],[Inntekt]]&lt;=K$434,K$434,IF(Tabell2[[#This Row],[Inntekt]]&gt;=K$435,K$435,Tabell2[[#This Row],[Inntekt]]))</f>
        <v>360300</v>
      </c>
      <c r="V327" s="7">
        <f>IF(Tabell2[[#This Row],[NIBR11-T]]&lt;=L$437,100,IF(Tabell2[[#This Row],[NIBR11-T]]&gt;=L$436,0,100*(L$436-Tabell2[[#This Row],[NIBR11-T]])/L$439))</f>
        <v>90</v>
      </c>
      <c r="W327" s="7">
        <f>(M$436-Tabell2[[#This Row],[ReisetidOslo-T]])*100/M$439</f>
        <v>13.151005484484223</v>
      </c>
      <c r="X327" s="7">
        <f>100-(N$436-Tabell2[[#This Row],[Beftettland-T]])*100/N$439</f>
        <v>5.4973334225976629</v>
      </c>
      <c r="Y327" s="7">
        <f>100-(O$436-Tabell2[[#This Row],[Beftettotal-T]])*100/O$439</f>
        <v>5.2735320587097618</v>
      </c>
      <c r="Z327" s="7">
        <f>100-(P$436-Tabell2[[#This Row],[Befvekst10-T]])*100/P$439</f>
        <v>32.815720689975066</v>
      </c>
      <c r="AA327" s="7">
        <f>100-(Q$436-Tabell2[[#This Row],[Kvinneandel-T]])*100/Q$439</f>
        <v>43.076275753232274</v>
      </c>
      <c r="AB327" s="7">
        <f>(R$436-Tabell2[[#This Row],[Eldreandel-T]])*100/R$439</f>
        <v>33.004706927149421</v>
      </c>
      <c r="AC327" s="7">
        <f>100-(S$436-Tabell2[[#This Row],[Sysselsettingsvekst10-T]])*100/S$439</f>
        <v>25.764204650882675</v>
      </c>
      <c r="AD327" s="7">
        <f>100-(T$436-Tabell2[[#This Row],[Yrkesaktivandel-T]])*100/T$439</f>
        <v>58.185832363017624</v>
      </c>
      <c r="AE327" s="7">
        <f>100-(U$436-Tabell2[[#This Row],[Inntekt-T]])*100/U$439</f>
        <v>17.932513260354355</v>
      </c>
      <c r="AF327" s="7">
        <v>18</v>
      </c>
      <c r="AG327" s="7">
        <v>1.3151005484484224</v>
      </c>
      <c r="AH327" s="7">
        <v>0.52735320587097623</v>
      </c>
      <c r="AI327" s="7">
        <v>6.5631441379950139</v>
      </c>
      <c r="AJ327" s="7">
        <v>2.1538137876616137</v>
      </c>
      <c r="AK327" s="7">
        <v>1.650235346357471</v>
      </c>
      <c r="AL327" s="7">
        <v>2.5764204650882676</v>
      </c>
      <c r="AM327" s="7">
        <v>5.8185832363017624</v>
      </c>
      <c r="AN327" s="7">
        <v>1.7932513260354357</v>
      </c>
      <c r="AO32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40.397902053758969</v>
      </c>
    </row>
    <row r="328" spans="1:41" x14ac:dyDescent="0.3">
      <c r="A328" s="2" t="s">
        <v>325</v>
      </c>
      <c r="B328">
        <f>'Rådata-K'!N327</f>
        <v>5</v>
      </c>
      <c r="C328" s="7">
        <f>'Rådata-K'!M327</f>
        <v>195.25</v>
      </c>
      <c r="D328" s="24">
        <f>'Rådata-K'!O327</f>
        <v>32.125948133221932</v>
      </c>
      <c r="E328" s="24">
        <f>'Rådata-K'!P327</f>
        <v>30.365908422242526</v>
      </c>
      <c r="F328" s="24">
        <f>'Rådata-K'!Q327</f>
        <v>8.4623893805309658E-2</v>
      </c>
      <c r="G328" s="24">
        <f>'Rådata-K'!R327</f>
        <v>0.1241203467618562</v>
      </c>
      <c r="H328" s="24">
        <f>'Rådata-K'!S327</f>
        <v>0.14931157572667006</v>
      </c>
      <c r="I328" s="24">
        <f>'Rådata-K'!T327</f>
        <v>0.1172607879924954</v>
      </c>
      <c r="J328" s="24">
        <f>'Rådata-K'!U327</f>
        <v>0.86754556715625553</v>
      </c>
      <c r="K328" s="24">
        <f>'Rådata-K'!L327</f>
        <v>382200</v>
      </c>
      <c r="L328" s="24">
        <f>Tabell2[[#This Row],[NIBR11]]</f>
        <v>5</v>
      </c>
      <c r="M328" s="24">
        <f>IF(Tabell2[[#This Row],[ReisetidOslo]]&lt;=C$434,C$434,IF(Tabell2[[#This Row],[ReisetidOslo]]&gt;=C$435,C$435,Tabell2[[#This Row],[ReisetidOslo]]))</f>
        <v>195.25</v>
      </c>
      <c r="N328" s="24">
        <f>IF(Tabell2[[#This Row],[Beftettland]]&lt;=D$434,D$434,IF(Tabell2[[#This Row],[Beftettland]]&gt;=D$435,D$435,Tabell2[[#This Row],[Beftettland]]))</f>
        <v>32.125948133221932</v>
      </c>
      <c r="O328" s="24">
        <f>IF(Tabell2[[#This Row],[Beftettotal]]&lt;=E$434,E$434,IF(Tabell2[[#This Row],[Beftettotal]]&gt;=E$435,E$435,Tabell2[[#This Row],[Beftettotal]]))</f>
        <v>30.365908422242526</v>
      </c>
      <c r="P328" s="24">
        <f>IF(Tabell2[[#This Row],[Befvekst10]]&lt;=F$434,F$434,IF(Tabell2[[#This Row],[Befvekst10]]&gt;=F$435,F$435,Tabell2[[#This Row],[Befvekst10]]))</f>
        <v>8.4623893805309658E-2</v>
      </c>
      <c r="Q328" s="24">
        <f>IF(Tabell2[[#This Row],[Kvinneandel]]&lt;=G$434,G$434,IF(Tabell2[[#This Row],[Kvinneandel]]&gt;=G$435,G$435,Tabell2[[#This Row],[Kvinneandel]]))</f>
        <v>0.1241203467618562</v>
      </c>
      <c r="R328" s="24">
        <f>IF(Tabell2[[#This Row],[Eldreandel]]&lt;=H$434,H$434,IF(Tabell2[[#This Row],[Eldreandel]]&gt;=H$435,H$435,Tabell2[[#This Row],[Eldreandel]]))</f>
        <v>0.14931157572667006</v>
      </c>
      <c r="S328" s="24">
        <f>IF(Tabell2[[#This Row],[Sysselsettingsvekst10]]&lt;=I$434,I$434,IF(Tabell2[[#This Row],[Sysselsettingsvekst10]]&gt;=I$435,I$435,Tabell2[[#This Row],[Sysselsettingsvekst10]]))</f>
        <v>0.1172607879924954</v>
      </c>
      <c r="T328" s="24">
        <f>IF(Tabell2[[#This Row],[Yrkesaktivandel]]&lt;=J$434,J$434,IF(Tabell2[[#This Row],[Yrkesaktivandel]]&gt;=J$435,J$435,Tabell2[[#This Row],[Yrkesaktivandel]]))</f>
        <v>0.86754556715625553</v>
      </c>
      <c r="U328" s="24">
        <f>IF(Tabell2[[#This Row],[Inntekt]]&lt;=K$434,K$434,IF(Tabell2[[#This Row],[Inntekt]]&gt;=K$435,K$435,Tabell2[[#This Row],[Inntekt]]))</f>
        <v>382200</v>
      </c>
      <c r="V328" s="7">
        <f>IF(Tabell2[[#This Row],[NIBR11-T]]&lt;=L$437,100,IF(Tabell2[[#This Row],[NIBR11-T]]&gt;=L$436,0,100*(L$436-Tabell2[[#This Row],[NIBR11-T]])/L$439))</f>
        <v>60</v>
      </c>
      <c r="W328" s="7">
        <f>(M$436-Tabell2[[#This Row],[ReisetidOslo-T]])*100/M$439</f>
        <v>37.385009140774237</v>
      </c>
      <c r="X328" s="7">
        <f>100-(N$436-Tabell2[[#This Row],[Beftettland-T]])*100/N$439</f>
        <v>22.726218264737525</v>
      </c>
      <c r="Y328" s="7">
        <f>100-(O$436-Tabell2[[#This Row],[Beftettotal-T]])*100/O$439</f>
        <v>22.23434091795491</v>
      </c>
      <c r="Z328" s="7">
        <f>100-(P$436-Tabell2[[#This Row],[Befvekst10-T]])*100/P$439</f>
        <v>63.015935297463599</v>
      </c>
      <c r="AA328" s="7">
        <f>100-(Q$436-Tabell2[[#This Row],[Kvinneandel-T]])*100/Q$439</f>
        <v>90.892175119798765</v>
      </c>
      <c r="AB328" s="7">
        <f>(R$436-Tabell2[[#This Row],[Eldreandel-T]])*100/R$439</f>
        <v>76.645855825293609</v>
      </c>
      <c r="AC328" s="7">
        <f>100-(S$436-Tabell2[[#This Row],[Sysselsettingsvekst10-T]])*100/S$439</f>
        <v>68.478618358535954</v>
      </c>
      <c r="AD328" s="7">
        <f>100-(T$436-Tabell2[[#This Row],[Yrkesaktivandel-T]])*100/T$439</f>
        <v>48.426391466239139</v>
      </c>
      <c r="AE328" s="7">
        <f>100-(U$436-Tabell2[[#This Row],[Inntekt-T]])*100/U$439</f>
        <v>42.647556709175035</v>
      </c>
      <c r="AF328" s="7">
        <v>12</v>
      </c>
      <c r="AG328" s="7">
        <v>3.7385009140774237</v>
      </c>
      <c r="AH328" s="7">
        <v>2.2234340917954909</v>
      </c>
      <c r="AI328" s="7">
        <v>12.60318705949272</v>
      </c>
      <c r="AJ328" s="7">
        <v>4.5446087559899384</v>
      </c>
      <c r="AK328" s="7">
        <v>3.8322927912646807</v>
      </c>
      <c r="AL328" s="7">
        <v>6.8478618358535961</v>
      </c>
      <c r="AM328" s="7">
        <v>4.842639146623914</v>
      </c>
      <c r="AN328" s="7">
        <v>4.2647556709175038</v>
      </c>
      <c r="AO32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54.897280266015272</v>
      </c>
    </row>
    <row r="329" spans="1:41" x14ac:dyDescent="0.3">
      <c r="A329" s="2" t="s">
        <v>326</v>
      </c>
      <c r="B329">
        <f>'Rådata-K'!N328</f>
        <v>5</v>
      </c>
      <c r="C329" s="7">
        <f>'Rådata-K'!M328</f>
        <v>203.8166666667</v>
      </c>
      <c r="D329" s="24">
        <f>'Rådata-K'!O328</f>
        <v>10.059947419287253</v>
      </c>
      <c r="E329" s="24">
        <f>'Rådata-K'!P328</f>
        <v>9.6227817823318347</v>
      </c>
      <c r="F329" s="24">
        <f>'Rådata-K'!Q328</f>
        <v>7.0863309352517945E-2</v>
      </c>
      <c r="G329" s="24">
        <f>'Rådata-K'!R328</f>
        <v>0.11514947934161908</v>
      </c>
      <c r="H329" s="24">
        <f>'Rådata-K'!S328</f>
        <v>0.15451797111185758</v>
      </c>
      <c r="I329" s="24">
        <f>'Rådata-K'!T328</f>
        <v>0.12586565096952906</v>
      </c>
      <c r="J329" s="24">
        <f>'Rådata-K'!U328</f>
        <v>0.83408018867924527</v>
      </c>
      <c r="K329" s="24">
        <f>'Rådata-K'!L328</f>
        <v>360900</v>
      </c>
      <c r="L329" s="24">
        <f>Tabell2[[#This Row],[NIBR11]]</f>
        <v>5</v>
      </c>
      <c r="M329" s="24">
        <f>IF(Tabell2[[#This Row],[ReisetidOslo]]&lt;=C$434,C$434,IF(Tabell2[[#This Row],[ReisetidOslo]]&gt;=C$435,C$435,Tabell2[[#This Row],[ReisetidOslo]]))</f>
        <v>203.8166666667</v>
      </c>
      <c r="N329" s="24">
        <f>IF(Tabell2[[#This Row],[Beftettland]]&lt;=D$434,D$434,IF(Tabell2[[#This Row],[Beftettland]]&gt;=D$435,D$435,Tabell2[[#This Row],[Beftettland]]))</f>
        <v>10.059947419287253</v>
      </c>
      <c r="O329" s="24">
        <f>IF(Tabell2[[#This Row],[Beftettotal]]&lt;=E$434,E$434,IF(Tabell2[[#This Row],[Beftettotal]]&gt;=E$435,E$435,Tabell2[[#This Row],[Beftettotal]]))</f>
        <v>9.6227817823318347</v>
      </c>
      <c r="P329" s="24">
        <f>IF(Tabell2[[#This Row],[Befvekst10]]&lt;=F$434,F$434,IF(Tabell2[[#This Row],[Befvekst10]]&gt;=F$435,F$435,Tabell2[[#This Row],[Befvekst10]]))</f>
        <v>7.0863309352517945E-2</v>
      </c>
      <c r="Q329" s="24">
        <f>IF(Tabell2[[#This Row],[Kvinneandel]]&lt;=G$434,G$434,IF(Tabell2[[#This Row],[Kvinneandel]]&gt;=G$435,G$435,Tabell2[[#This Row],[Kvinneandel]]))</f>
        <v>0.11514947934161908</v>
      </c>
      <c r="R329" s="24">
        <f>IF(Tabell2[[#This Row],[Eldreandel]]&lt;=H$434,H$434,IF(Tabell2[[#This Row],[Eldreandel]]&gt;=H$435,H$435,Tabell2[[#This Row],[Eldreandel]]))</f>
        <v>0.15451797111185758</v>
      </c>
      <c r="S329" s="24">
        <f>IF(Tabell2[[#This Row],[Sysselsettingsvekst10]]&lt;=I$434,I$434,IF(Tabell2[[#This Row],[Sysselsettingsvekst10]]&gt;=I$435,I$435,Tabell2[[#This Row],[Sysselsettingsvekst10]]))</f>
        <v>0.12586565096952906</v>
      </c>
      <c r="T329" s="24">
        <f>IF(Tabell2[[#This Row],[Yrkesaktivandel]]&lt;=J$434,J$434,IF(Tabell2[[#This Row],[Yrkesaktivandel]]&gt;=J$435,J$435,Tabell2[[#This Row],[Yrkesaktivandel]]))</f>
        <v>0.83408018867924527</v>
      </c>
      <c r="U329" s="24">
        <f>IF(Tabell2[[#This Row],[Inntekt]]&lt;=K$434,K$434,IF(Tabell2[[#This Row],[Inntekt]]&gt;=K$435,K$435,Tabell2[[#This Row],[Inntekt]]))</f>
        <v>360900</v>
      </c>
      <c r="V329" s="7">
        <f>IF(Tabell2[[#This Row],[NIBR11-T]]&lt;=L$437,100,IF(Tabell2[[#This Row],[NIBR11-T]]&gt;=L$436,0,100*(L$436-Tabell2[[#This Row],[NIBR11-T]])/L$439))</f>
        <v>60</v>
      </c>
      <c r="W329" s="7">
        <f>(M$436-Tabell2[[#This Row],[ReisetidOslo-T]])*100/M$439</f>
        <v>33.626325411326725</v>
      </c>
      <c r="X329" s="7">
        <f>100-(N$436-Tabell2[[#This Row],[Beftettland-T]])*100/N$439</f>
        <v>6.4039149233905022</v>
      </c>
      <c r="Y329" s="7">
        <f>100-(O$436-Tabell2[[#This Row],[Beftettotal-T]])*100/O$439</f>
        <v>6.356751819476429</v>
      </c>
      <c r="Z329" s="7">
        <f>100-(P$436-Tabell2[[#This Row],[Befvekst10-T]])*100/P$439</f>
        <v>57.446186661936096</v>
      </c>
      <c r="AA329" s="7">
        <f>100-(Q$436-Tabell2[[#This Row],[Kvinneandel-T]])*100/Q$439</f>
        <v>67.325228518183536</v>
      </c>
      <c r="AB329" s="7">
        <f>(R$436-Tabell2[[#This Row],[Eldreandel-T]])*100/R$439</f>
        <v>71.026828438896572</v>
      </c>
      <c r="AC329" s="7">
        <f>100-(S$436-Tabell2[[#This Row],[Sysselsettingsvekst10-T]])*100/S$439</f>
        <v>71.286826584644757</v>
      </c>
      <c r="AD329" s="7">
        <f>100-(T$436-Tabell2[[#This Row],[Yrkesaktivandel-T]])*100/T$439</f>
        <v>24.823466761008035</v>
      </c>
      <c r="AE329" s="7">
        <f>100-(U$436-Tabell2[[#This Row],[Inntekt-T]])*100/U$439</f>
        <v>18.609637738404246</v>
      </c>
      <c r="AF329" s="7">
        <v>12</v>
      </c>
      <c r="AG329" s="7">
        <v>3.3626325411326725</v>
      </c>
      <c r="AH329" s="7">
        <v>0.63567518194764294</v>
      </c>
      <c r="AI329" s="7">
        <v>11.489237332387219</v>
      </c>
      <c r="AJ329" s="7">
        <v>3.366261425909177</v>
      </c>
      <c r="AK329" s="7">
        <v>3.5513414219448287</v>
      </c>
      <c r="AL329" s="7">
        <v>7.1286826584644762</v>
      </c>
      <c r="AM329" s="7">
        <v>2.4823466761008035</v>
      </c>
      <c r="AN329" s="7">
        <v>1.8609637738404246</v>
      </c>
      <c r="AO32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45.877141011727247</v>
      </c>
    </row>
    <row r="330" spans="1:41" x14ac:dyDescent="0.3">
      <c r="A330" s="2" t="s">
        <v>327</v>
      </c>
      <c r="B330">
        <f>'Rådata-K'!N329</f>
        <v>6</v>
      </c>
      <c r="C330" s="7">
        <f>'Rådata-K'!M329</f>
        <v>253.9</v>
      </c>
      <c r="D330" s="24">
        <f>'Rådata-K'!O329</f>
        <v>4.5275378937184216</v>
      </c>
      <c r="E330" s="24">
        <f>'Rådata-K'!P329</f>
        <v>4.2000465379117777</v>
      </c>
      <c r="F330" s="24">
        <f>'Rådata-K'!Q329</f>
        <v>-4.4251134644478052E-2</v>
      </c>
      <c r="G330" s="24">
        <f>'Rådata-K'!R329</f>
        <v>9.2995647012267507E-2</v>
      </c>
      <c r="H330" s="24">
        <f>'Rådata-K'!S329</f>
        <v>0.21013058963197467</v>
      </c>
      <c r="I330" s="24">
        <f>'Rådata-K'!T329</f>
        <v>8.0957810718357948E-2</v>
      </c>
      <c r="J330" s="24">
        <f>'Rådata-K'!U329</f>
        <v>0.72882562277580076</v>
      </c>
      <c r="K330" s="24">
        <f>'Rådata-K'!L329</f>
        <v>317100</v>
      </c>
      <c r="L330" s="24">
        <f>Tabell2[[#This Row],[NIBR11]]</f>
        <v>6</v>
      </c>
      <c r="M330" s="24">
        <f>IF(Tabell2[[#This Row],[ReisetidOslo]]&lt;=C$434,C$434,IF(Tabell2[[#This Row],[ReisetidOslo]]&gt;=C$435,C$435,Tabell2[[#This Row],[ReisetidOslo]]))</f>
        <v>253.9</v>
      </c>
      <c r="N330" s="24">
        <f>IF(Tabell2[[#This Row],[Beftettland]]&lt;=D$434,D$434,IF(Tabell2[[#This Row],[Beftettland]]&gt;=D$435,D$435,Tabell2[[#This Row],[Beftettland]]))</f>
        <v>4.5275378937184216</v>
      </c>
      <c r="O330" s="24">
        <f>IF(Tabell2[[#This Row],[Beftettotal]]&lt;=E$434,E$434,IF(Tabell2[[#This Row],[Beftettotal]]&gt;=E$435,E$435,Tabell2[[#This Row],[Beftettotal]]))</f>
        <v>4.2000465379117777</v>
      </c>
      <c r="P330" s="24">
        <f>IF(Tabell2[[#This Row],[Befvekst10]]&lt;=F$434,F$434,IF(Tabell2[[#This Row],[Befvekst10]]&gt;=F$435,F$435,Tabell2[[#This Row],[Befvekst10]]))</f>
        <v>-4.4251134644478052E-2</v>
      </c>
      <c r="Q330" s="24">
        <f>IF(Tabell2[[#This Row],[Kvinneandel]]&lt;=G$434,G$434,IF(Tabell2[[#This Row],[Kvinneandel]]&gt;=G$435,G$435,Tabell2[[#This Row],[Kvinneandel]]))</f>
        <v>9.2995647012267507E-2</v>
      </c>
      <c r="R330" s="24">
        <f>IF(Tabell2[[#This Row],[Eldreandel]]&lt;=H$434,H$434,IF(Tabell2[[#This Row],[Eldreandel]]&gt;=H$435,H$435,Tabell2[[#This Row],[Eldreandel]]))</f>
        <v>0.21013058963197467</v>
      </c>
      <c r="S330" s="24">
        <f>IF(Tabell2[[#This Row],[Sysselsettingsvekst10]]&lt;=I$434,I$434,IF(Tabell2[[#This Row],[Sysselsettingsvekst10]]&gt;=I$435,I$435,Tabell2[[#This Row],[Sysselsettingsvekst10]]))</f>
        <v>8.0957810718357948E-2</v>
      </c>
      <c r="T330" s="24">
        <f>IF(Tabell2[[#This Row],[Yrkesaktivandel]]&lt;=J$434,J$434,IF(Tabell2[[#This Row],[Yrkesaktivandel]]&gt;=J$435,J$435,Tabell2[[#This Row],[Yrkesaktivandel]]))</f>
        <v>0.79888426611272945</v>
      </c>
      <c r="U330" s="24">
        <f>IF(Tabell2[[#This Row],[Inntekt]]&lt;=K$434,K$434,IF(Tabell2[[#This Row],[Inntekt]]&gt;=K$435,K$435,Tabell2[[#This Row],[Inntekt]]))</f>
        <v>344410</v>
      </c>
      <c r="V330" s="7">
        <f>IF(Tabell2[[#This Row],[NIBR11-T]]&lt;=L$437,100,IF(Tabell2[[#This Row],[NIBR11-T]]&gt;=L$436,0,100*(L$436-Tabell2[[#This Row],[NIBR11-T]])/L$439))</f>
        <v>50</v>
      </c>
      <c r="W330" s="7">
        <f>(M$436-Tabell2[[#This Row],[ReisetidOslo-T]])*100/M$439</f>
        <v>11.651919561252191</v>
      </c>
      <c r="X330" s="7">
        <f>100-(N$436-Tabell2[[#This Row],[Beftettland-T]])*100/N$439</f>
        <v>2.3115708844515979</v>
      </c>
      <c r="Y330" s="7">
        <f>100-(O$436-Tabell2[[#This Row],[Beftettotal-T]])*100/O$439</f>
        <v>2.2059811330998258</v>
      </c>
      <c r="Z330" s="7">
        <f>100-(P$436-Tabell2[[#This Row],[Befvekst10-T]])*100/P$439</f>
        <v>10.852343240430997</v>
      </c>
      <c r="AA330" s="7">
        <f>100-(Q$436-Tabell2[[#This Row],[Kvinneandel-T]])*100/Q$439</f>
        <v>9.1259308282879772</v>
      </c>
      <c r="AB330" s="7">
        <f>(R$436-Tabell2[[#This Row],[Eldreandel-T]])*100/R$439</f>
        <v>11.006641078014153</v>
      </c>
      <c r="AC330" s="7">
        <f>100-(S$436-Tabell2[[#This Row],[Sysselsettingsvekst10-T]])*100/S$439</f>
        <v>56.631094500739707</v>
      </c>
      <c r="AD330" s="7">
        <f>100-(T$436-Tabell2[[#This Row],[Yrkesaktivandel-T]])*100/T$439</f>
        <v>0</v>
      </c>
      <c r="AE330" s="7">
        <f>100-(U$436-Tabell2[[#This Row],[Inntekt-T]])*100/U$439</f>
        <v>0</v>
      </c>
      <c r="AF330" s="7">
        <v>10</v>
      </c>
      <c r="AG330" s="7">
        <v>1.1651919561252191</v>
      </c>
      <c r="AH330" s="7">
        <v>0.22059811330998258</v>
      </c>
      <c r="AI330" s="7">
        <v>2.1704686480861994</v>
      </c>
      <c r="AJ330" s="7">
        <v>0.4562965414143989</v>
      </c>
      <c r="AK330" s="7">
        <v>0.55033205390070772</v>
      </c>
      <c r="AL330" s="7">
        <v>5.6631094500739714</v>
      </c>
      <c r="AM330" s="7">
        <v>0</v>
      </c>
      <c r="AN330" s="7">
        <v>0</v>
      </c>
      <c r="AO33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20.22599676291048</v>
      </c>
    </row>
    <row r="331" spans="1:41" x14ac:dyDescent="0.3">
      <c r="A331" s="2" t="s">
        <v>328</v>
      </c>
      <c r="B331">
        <f>'Rådata-K'!N330</f>
        <v>6</v>
      </c>
      <c r="C331" s="7">
        <f>'Rådata-K'!M330</f>
        <v>243.3</v>
      </c>
      <c r="D331" s="24">
        <f>'Rådata-K'!O330</f>
        <v>2.2077338741510024</v>
      </c>
      <c r="E331" s="24">
        <f>'Rådata-K'!P330</f>
        <v>2.1077526834212645</v>
      </c>
      <c r="F331" s="24">
        <f>'Rådata-K'!Q330</f>
        <v>-7.2612921669525488E-2</v>
      </c>
      <c r="G331" s="24">
        <f>'Rådata-K'!R330</f>
        <v>8.8162762022194821E-2</v>
      </c>
      <c r="H331" s="24">
        <f>'Rådata-K'!S330</f>
        <v>0.19852034525277434</v>
      </c>
      <c r="I331" s="24">
        <f>'Rådata-K'!T330</f>
        <v>-5.8371735791090673E-2</v>
      </c>
      <c r="J331" s="24">
        <f>'Rådata-K'!U330</f>
        <v>0.9094036697247706</v>
      </c>
      <c r="K331" s="24">
        <f>'Rådata-K'!L330</f>
        <v>351500</v>
      </c>
      <c r="L331" s="24">
        <f>Tabell2[[#This Row],[NIBR11]]</f>
        <v>6</v>
      </c>
      <c r="M331" s="24">
        <f>IF(Tabell2[[#This Row],[ReisetidOslo]]&lt;=C$434,C$434,IF(Tabell2[[#This Row],[ReisetidOslo]]&gt;=C$435,C$435,Tabell2[[#This Row],[ReisetidOslo]]))</f>
        <v>243.3</v>
      </c>
      <c r="N331" s="24">
        <f>IF(Tabell2[[#This Row],[Beftettland]]&lt;=D$434,D$434,IF(Tabell2[[#This Row],[Beftettland]]&gt;=D$435,D$435,Tabell2[[#This Row],[Beftettland]]))</f>
        <v>2.2077338741510024</v>
      </c>
      <c r="O331" s="24">
        <f>IF(Tabell2[[#This Row],[Beftettotal]]&lt;=E$434,E$434,IF(Tabell2[[#This Row],[Beftettotal]]&gt;=E$435,E$435,Tabell2[[#This Row],[Beftettotal]]))</f>
        <v>2.1077526834212645</v>
      </c>
      <c r="P331" s="24">
        <f>IF(Tabell2[[#This Row],[Befvekst10]]&lt;=F$434,F$434,IF(Tabell2[[#This Row],[Befvekst10]]&gt;=F$435,F$435,Tabell2[[#This Row],[Befvekst10]]))</f>
        <v>-7.1062862685144085E-2</v>
      </c>
      <c r="Q331" s="24">
        <f>IF(Tabell2[[#This Row],[Kvinneandel]]&lt;=G$434,G$434,IF(Tabell2[[#This Row],[Kvinneandel]]&gt;=G$435,G$435,Tabell2[[#This Row],[Kvinneandel]]))</f>
        <v>8.9521819157910881E-2</v>
      </c>
      <c r="R331" s="24">
        <f>IF(Tabell2[[#This Row],[Eldreandel]]&lt;=H$434,H$434,IF(Tabell2[[#This Row],[Eldreandel]]&gt;=H$435,H$435,Tabell2[[#This Row],[Eldreandel]]))</f>
        <v>0.19852034525277434</v>
      </c>
      <c r="S331" s="24">
        <f>IF(Tabell2[[#This Row],[Sysselsettingsvekst10]]&lt;=I$434,I$434,IF(Tabell2[[#This Row],[Sysselsettingsvekst10]]&gt;=I$435,I$435,Tabell2[[#This Row],[Sysselsettingsvekst10]]))</f>
        <v>-5.8371735791090673E-2</v>
      </c>
      <c r="T331" s="24">
        <f>IF(Tabell2[[#This Row],[Yrkesaktivandel]]&lt;=J$434,J$434,IF(Tabell2[[#This Row],[Yrkesaktivandel]]&gt;=J$435,J$435,Tabell2[[#This Row],[Yrkesaktivandel]]))</f>
        <v>0.9094036697247706</v>
      </c>
      <c r="U331" s="24">
        <f>IF(Tabell2[[#This Row],[Inntekt]]&lt;=K$434,K$434,IF(Tabell2[[#This Row],[Inntekt]]&gt;=K$435,K$435,Tabell2[[#This Row],[Inntekt]]))</f>
        <v>351500</v>
      </c>
      <c r="V331" s="7">
        <f>IF(Tabell2[[#This Row],[NIBR11-T]]&lt;=L$437,100,IF(Tabell2[[#This Row],[NIBR11-T]]&gt;=L$436,0,100*(L$436-Tabell2[[#This Row],[NIBR11-T]])/L$439))</f>
        <v>50</v>
      </c>
      <c r="W331" s="7">
        <f>(M$436-Tabell2[[#This Row],[ReisetidOslo-T]])*100/M$439</f>
        <v>16.302742230355914</v>
      </c>
      <c r="X331" s="7">
        <f>100-(N$436-Tabell2[[#This Row],[Beftettland-T]])*100/N$439</f>
        <v>0.5956031660265495</v>
      </c>
      <c r="Y331" s="7">
        <f>100-(O$436-Tabell2[[#This Row],[Beftettotal-T]])*100/O$439</f>
        <v>0.60445872659076372</v>
      </c>
      <c r="Z331" s="7">
        <f>100-(P$436-Tabell2[[#This Row],[Befvekst10-T]])*100/P$439</f>
        <v>0</v>
      </c>
      <c r="AA331" s="7">
        <f>100-(Q$436-Tabell2[[#This Row],[Kvinneandel-T]])*100/Q$439</f>
        <v>0</v>
      </c>
      <c r="AB331" s="7">
        <f>(R$436-Tabell2[[#This Row],[Eldreandel-T]])*100/R$439</f>
        <v>23.537053446443817</v>
      </c>
      <c r="AC331" s="7">
        <f>100-(S$436-Tabell2[[#This Row],[Sysselsettingsvekst10-T]])*100/S$439</f>
        <v>11.160715751870399</v>
      </c>
      <c r="AD331" s="7">
        <f>100-(T$436-Tabell2[[#This Row],[Yrkesaktivandel-T]])*100/T$439</f>
        <v>77.948652626596598</v>
      </c>
      <c r="AE331" s="7">
        <f>100-(U$436-Tabell2[[#This Row],[Inntekt-T]])*100/U$439</f>
        <v>8.0013542489561047</v>
      </c>
      <c r="AF331" s="7">
        <v>10</v>
      </c>
      <c r="AG331" s="7">
        <v>1.6302742230355916</v>
      </c>
      <c r="AH331" s="7">
        <v>6.0445872659076375E-2</v>
      </c>
      <c r="AI331" s="7">
        <v>0</v>
      </c>
      <c r="AJ331" s="7">
        <v>0</v>
      </c>
      <c r="AK331" s="7">
        <v>1.1768526723221908</v>
      </c>
      <c r="AL331" s="7">
        <v>1.1160715751870398</v>
      </c>
      <c r="AM331" s="7">
        <v>7.79486526265966</v>
      </c>
      <c r="AN331" s="7">
        <v>0.80013542489561051</v>
      </c>
      <c r="AO33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22.578645030759169</v>
      </c>
    </row>
    <row r="332" spans="1:41" x14ac:dyDescent="0.3">
      <c r="A332" s="2" t="s">
        <v>329</v>
      </c>
      <c r="B332">
        <f>'Rådata-K'!N331</f>
        <v>6</v>
      </c>
      <c r="C332" s="7">
        <f>'Rådata-K'!M331</f>
        <v>267.75</v>
      </c>
      <c r="D332" s="24">
        <f>'Rådata-K'!O331</f>
        <v>0.99485133042180018</v>
      </c>
      <c r="E332" s="24">
        <f>'Rådata-K'!P331</f>
        <v>0.91306463592668152</v>
      </c>
      <c r="F332" s="24">
        <f>'Rådata-K'!Q331</f>
        <v>-4.975566414926702E-2</v>
      </c>
      <c r="G332" s="24">
        <f>'Rådata-K'!R331</f>
        <v>0.10004675081813932</v>
      </c>
      <c r="H332" s="24">
        <f>'Rådata-K'!S331</f>
        <v>0.20757363253856942</v>
      </c>
      <c r="I332" s="24">
        <f>'Rådata-K'!T331</f>
        <v>-0.11401673640167365</v>
      </c>
      <c r="J332" s="24">
        <f>'Rådata-K'!U331</f>
        <v>0.92462751971954427</v>
      </c>
      <c r="K332" s="24">
        <f>'Rådata-K'!L331</f>
        <v>349100</v>
      </c>
      <c r="L332" s="24">
        <f>Tabell2[[#This Row],[NIBR11]]</f>
        <v>6</v>
      </c>
      <c r="M332" s="24">
        <f>IF(Tabell2[[#This Row],[ReisetidOslo]]&lt;=C$434,C$434,IF(Tabell2[[#This Row],[ReisetidOslo]]&gt;=C$435,C$435,Tabell2[[#This Row],[ReisetidOslo]]))</f>
        <v>267.75</v>
      </c>
      <c r="N332" s="24">
        <f>IF(Tabell2[[#This Row],[Beftettland]]&lt;=D$434,D$434,IF(Tabell2[[#This Row],[Beftettland]]&gt;=D$435,D$435,Tabell2[[#This Row],[Beftettland]]))</f>
        <v>1.4025423756281519</v>
      </c>
      <c r="O332" s="24">
        <f>IF(Tabell2[[#This Row],[Beftettotal]]&lt;=E$434,E$434,IF(Tabell2[[#This Row],[Beftettotal]]&gt;=E$435,E$435,Tabell2[[#This Row],[Beftettotal]]))</f>
        <v>1.3180632767674032</v>
      </c>
      <c r="P332" s="24">
        <f>IF(Tabell2[[#This Row],[Befvekst10]]&lt;=F$434,F$434,IF(Tabell2[[#This Row],[Befvekst10]]&gt;=F$435,F$435,Tabell2[[#This Row],[Befvekst10]]))</f>
        <v>-4.975566414926702E-2</v>
      </c>
      <c r="Q332" s="24">
        <f>IF(Tabell2[[#This Row],[Kvinneandel]]&lt;=G$434,G$434,IF(Tabell2[[#This Row],[Kvinneandel]]&gt;=G$435,G$435,Tabell2[[#This Row],[Kvinneandel]]))</f>
        <v>0.10004675081813932</v>
      </c>
      <c r="R332" s="24">
        <f>IF(Tabell2[[#This Row],[Eldreandel]]&lt;=H$434,H$434,IF(Tabell2[[#This Row],[Eldreandel]]&gt;=H$435,H$435,Tabell2[[#This Row],[Eldreandel]]))</f>
        <v>0.20757363253856942</v>
      </c>
      <c r="S332" s="24">
        <f>IF(Tabell2[[#This Row],[Sysselsettingsvekst10]]&lt;=I$434,I$434,IF(Tabell2[[#This Row],[Sysselsettingsvekst10]]&gt;=I$435,I$435,Tabell2[[#This Row],[Sysselsettingsvekst10]]))</f>
        <v>-9.2570207570207563E-2</v>
      </c>
      <c r="T332" s="24">
        <f>IF(Tabell2[[#This Row],[Yrkesaktivandel]]&lt;=J$434,J$434,IF(Tabell2[[#This Row],[Yrkesaktivandel]]&gt;=J$435,J$435,Tabell2[[#This Row],[Yrkesaktivandel]]))</f>
        <v>0.92462751971954427</v>
      </c>
      <c r="U332" s="24">
        <f>IF(Tabell2[[#This Row],[Inntekt]]&lt;=K$434,K$434,IF(Tabell2[[#This Row],[Inntekt]]&gt;=K$435,K$435,Tabell2[[#This Row],[Inntekt]]))</f>
        <v>349100</v>
      </c>
      <c r="V332" s="7">
        <f>IF(Tabell2[[#This Row],[NIBR11-T]]&lt;=L$437,100,IF(Tabell2[[#This Row],[NIBR11-T]]&gt;=L$436,0,100*(L$436-Tabell2[[#This Row],[NIBR11-T]])/L$439))</f>
        <v>50</v>
      </c>
      <c r="W332" s="7">
        <f>(M$436-Tabell2[[#This Row],[ReisetidOslo-T]])*100/M$439</f>
        <v>5.5751371115270389</v>
      </c>
      <c r="X332" s="7">
        <f>100-(N$436-Tabell2[[#This Row],[Beftettland-T]])*100/N$439</f>
        <v>0</v>
      </c>
      <c r="Y332" s="7">
        <f>100-(O$436-Tabell2[[#This Row],[Beftettotal-T]])*100/O$439</f>
        <v>0</v>
      </c>
      <c r="Z332" s="7">
        <f>100-(P$436-Tabell2[[#This Row],[Befvekst10-T]])*100/P$439</f>
        <v>8.624324088795376</v>
      </c>
      <c r="AA332" s="7">
        <f>100-(Q$436-Tabell2[[#This Row],[Kvinneandel-T]])*100/Q$439</f>
        <v>27.649556146901233</v>
      </c>
      <c r="AB332" s="7">
        <f>(R$436-Tabell2[[#This Row],[Eldreandel-T]])*100/R$439</f>
        <v>13.766249381018362</v>
      </c>
      <c r="AC332" s="7">
        <f>100-(S$436-Tabell2[[#This Row],[Sysselsettingsvekst10-T]])*100/S$439</f>
        <v>0</v>
      </c>
      <c r="AD332" s="7">
        <f>100-(T$436-Tabell2[[#This Row],[Yrkesaktivandel-T]])*100/T$439</f>
        <v>88.685939981563266</v>
      </c>
      <c r="AE332" s="7">
        <f>100-(U$436-Tabell2[[#This Row],[Inntekt-T]])*100/U$439</f>
        <v>5.2928563367565715</v>
      </c>
      <c r="AF332" s="7">
        <v>10</v>
      </c>
      <c r="AG332" s="7">
        <v>0.55751371115270387</v>
      </c>
      <c r="AH332" s="7">
        <v>0</v>
      </c>
      <c r="AI332" s="7">
        <v>1.7248648177590753</v>
      </c>
      <c r="AJ332" s="7">
        <v>1.3824778073450616</v>
      </c>
      <c r="AK332" s="7">
        <v>0.68831246905091814</v>
      </c>
      <c r="AL332" s="7">
        <v>0</v>
      </c>
      <c r="AM332" s="7">
        <v>8.8685939981563262</v>
      </c>
      <c r="AN332" s="7">
        <v>0.52928563367565717</v>
      </c>
      <c r="AO33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23.75104843713974</v>
      </c>
    </row>
    <row r="333" spans="1:41" x14ac:dyDescent="0.3">
      <c r="A333" s="2" t="s">
        <v>330</v>
      </c>
      <c r="B333">
        <f>'Rådata-K'!N332</f>
        <v>11</v>
      </c>
      <c r="C333" s="7">
        <f>'Rådata-K'!M332</f>
        <v>303.8333333333</v>
      </c>
      <c r="D333" s="24">
        <f>'Rådata-K'!O332</f>
        <v>0.52257723691561608</v>
      </c>
      <c r="E333" s="24">
        <f>'Rådata-K'!P332</f>
        <v>0.46426039099166022</v>
      </c>
      <c r="F333" s="24">
        <f>'Rådata-K'!Q332</f>
        <v>-8.5163007318695971E-2</v>
      </c>
      <c r="G333" s="24">
        <f>'Rådata-K'!R332</f>
        <v>8.8727272727272724E-2</v>
      </c>
      <c r="H333" s="24">
        <f>'Rådata-K'!S332</f>
        <v>0.216</v>
      </c>
      <c r="I333" s="24">
        <f>'Rådata-K'!T332</f>
        <v>-0.11127819548872175</v>
      </c>
      <c r="J333" s="24">
        <f>'Rådata-K'!U332</f>
        <v>0.96561210453920221</v>
      </c>
      <c r="K333" s="24">
        <f>'Rådata-K'!L332</f>
        <v>368400</v>
      </c>
      <c r="L333" s="24">
        <f>Tabell2[[#This Row],[NIBR11]]</f>
        <v>11</v>
      </c>
      <c r="M333" s="24">
        <f>IF(Tabell2[[#This Row],[ReisetidOslo]]&lt;=C$434,C$434,IF(Tabell2[[#This Row],[ReisetidOslo]]&gt;=C$435,C$435,Tabell2[[#This Row],[ReisetidOslo]]))</f>
        <v>280.45666666669001</v>
      </c>
      <c r="N333" s="24">
        <f>IF(Tabell2[[#This Row],[Beftettland]]&lt;=D$434,D$434,IF(Tabell2[[#This Row],[Beftettland]]&gt;=D$435,D$435,Tabell2[[#This Row],[Beftettland]]))</f>
        <v>1.4025423756281519</v>
      </c>
      <c r="O333" s="24">
        <f>IF(Tabell2[[#This Row],[Beftettotal]]&lt;=E$434,E$434,IF(Tabell2[[#This Row],[Beftettotal]]&gt;=E$435,E$435,Tabell2[[#This Row],[Beftettotal]]))</f>
        <v>1.3180632767674032</v>
      </c>
      <c r="P333" s="24">
        <f>IF(Tabell2[[#This Row],[Befvekst10]]&lt;=F$434,F$434,IF(Tabell2[[#This Row],[Befvekst10]]&gt;=F$435,F$435,Tabell2[[#This Row],[Befvekst10]]))</f>
        <v>-7.1062862685144085E-2</v>
      </c>
      <c r="Q333" s="24">
        <f>IF(Tabell2[[#This Row],[Kvinneandel]]&lt;=G$434,G$434,IF(Tabell2[[#This Row],[Kvinneandel]]&gt;=G$435,G$435,Tabell2[[#This Row],[Kvinneandel]]))</f>
        <v>8.9521819157910881E-2</v>
      </c>
      <c r="R333" s="24">
        <f>IF(Tabell2[[#This Row],[Eldreandel]]&lt;=H$434,H$434,IF(Tabell2[[#This Row],[Eldreandel]]&gt;=H$435,H$435,Tabell2[[#This Row],[Eldreandel]]))</f>
        <v>0.216</v>
      </c>
      <c r="S333" s="24">
        <f>IF(Tabell2[[#This Row],[Sysselsettingsvekst10]]&lt;=I$434,I$434,IF(Tabell2[[#This Row],[Sysselsettingsvekst10]]&gt;=I$435,I$435,Tabell2[[#This Row],[Sysselsettingsvekst10]]))</f>
        <v>-9.2570207570207563E-2</v>
      </c>
      <c r="T333" s="24">
        <f>IF(Tabell2[[#This Row],[Yrkesaktivandel]]&lt;=J$434,J$434,IF(Tabell2[[#This Row],[Yrkesaktivandel]]&gt;=J$435,J$435,Tabell2[[#This Row],[Yrkesaktivandel]]))</f>
        <v>0.94066914614326791</v>
      </c>
      <c r="U333" s="24">
        <f>IF(Tabell2[[#This Row],[Inntekt]]&lt;=K$434,K$434,IF(Tabell2[[#This Row],[Inntekt]]&gt;=K$435,K$435,Tabell2[[#This Row],[Inntekt]]))</f>
        <v>368400</v>
      </c>
      <c r="V333" s="7">
        <f>IF(Tabell2[[#This Row],[NIBR11-T]]&lt;=L$437,100,IF(Tabell2[[#This Row],[NIBR11-T]]&gt;=L$436,0,100*(L$436-Tabell2[[#This Row],[NIBR11-T]])/L$439))</f>
        <v>0</v>
      </c>
      <c r="W333" s="7">
        <f>(M$436-Tabell2[[#This Row],[ReisetidOslo-T]])*100/M$439</f>
        <v>0</v>
      </c>
      <c r="X333" s="7">
        <f>100-(N$436-Tabell2[[#This Row],[Beftettland-T]])*100/N$439</f>
        <v>0</v>
      </c>
      <c r="Y333" s="7">
        <f>100-(O$436-Tabell2[[#This Row],[Beftettotal-T]])*100/O$439</f>
        <v>0</v>
      </c>
      <c r="Z333" s="7">
        <f>100-(P$436-Tabell2[[#This Row],[Befvekst10-T]])*100/P$439</f>
        <v>0</v>
      </c>
      <c r="AA333" s="7">
        <f>100-(Q$436-Tabell2[[#This Row],[Kvinneandel-T]])*100/Q$439</f>
        <v>0</v>
      </c>
      <c r="AB333" s="7">
        <f>(R$436-Tabell2[[#This Row],[Eldreandel-T]])*100/R$439</f>
        <v>4.6720515664745692</v>
      </c>
      <c r="AC333" s="7">
        <f>100-(S$436-Tabell2[[#This Row],[Sysselsettingsvekst10-T]])*100/S$439</f>
        <v>0</v>
      </c>
      <c r="AD333" s="7">
        <f>100-(T$436-Tabell2[[#This Row],[Yrkesaktivandel-T]])*100/T$439</f>
        <v>100</v>
      </c>
      <c r="AE333" s="7">
        <f>100-(U$436-Tabell2[[#This Row],[Inntekt-T]])*100/U$439</f>
        <v>27.073693714027769</v>
      </c>
      <c r="AF333" s="7">
        <v>0</v>
      </c>
      <c r="AG333" s="7">
        <v>0</v>
      </c>
      <c r="AH333" s="7">
        <v>0</v>
      </c>
      <c r="AI333" s="7">
        <v>0</v>
      </c>
      <c r="AJ333" s="7">
        <v>0</v>
      </c>
      <c r="AK333" s="7">
        <v>0.23360257832372847</v>
      </c>
      <c r="AL333" s="7">
        <v>0</v>
      </c>
      <c r="AM333" s="7">
        <v>10</v>
      </c>
      <c r="AN333" s="7">
        <v>2.7073693714027769</v>
      </c>
      <c r="AO33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12.940971949726505</v>
      </c>
    </row>
    <row r="334" spans="1:41" x14ac:dyDescent="0.3">
      <c r="A334" s="2" t="s">
        <v>331</v>
      </c>
      <c r="B334">
        <f>'Rådata-K'!N333</f>
        <v>11</v>
      </c>
      <c r="C334" s="7">
        <f>'Rådata-K'!M333</f>
        <v>317.03333333299997</v>
      </c>
      <c r="D334" s="24">
        <f>'Rådata-K'!O333</f>
        <v>0.35199639747823475</v>
      </c>
      <c r="E334" s="24">
        <f>'Rådata-K'!P333</f>
        <v>0.29594386531714578</v>
      </c>
      <c r="F334" s="24">
        <f>'Rådata-K'!Q333</f>
        <v>-0.13786764705882348</v>
      </c>
      <c r="G334" s="24">
        <f>'Rådata-K'!R333</f>
        <v>7.6759061833688705E-2</v>
      </c>
      <c r="H334" s="24">
        <f>'Rådata-K'!S333</f>
        <v>0.22601279317697229</v>
      </c>
      <c r="I334" s="24">
        <f>'Rådata-K'!T333</f>
        <v>-0.10344827586206895</v>
      </c>
      <c r="J334" s="24">
        <f>'Rådata-K'!U333</f>
        <v>1.0528455284552845</v>
      </c>
      <c r="K334" s="24">
        <f>'Rådata-K'!L333</f>
        <v>361800</v>
      </c>
      <c r="L334" s="24">
        <f>Tabell2[[#This Row],[NIBR11]]</f>
        <v>11</v>
      </c>
      <c r="M334" s="24">
        <f>IF(Tabell2[[#This Row],[ReisetidOslo]]&lt;=C$434,C$434,IF(Tabell2[[#This Row],[ReisetidOslo]]&gt;=C$435,C$435,Tabell2[[#This Row],[ReisetidOslo]]))</f>
        <v>280.45666666669001</v>
      </c>
      <c r="N334" s="24">
        <f>IF(Tabell2[[#This Row],[Beftettland]]&lt;=D$434,D$434,IF(Tabell2[[#This Row],[Beftettland]]&gt;=D$435,D$435,Tabell2[[#This Row],[Beftettland]]))</f>
        <v>1.4025423756281519</v>
      </c>
      <c r="O334" s="24">
        <f>IF(Tabell2[[#This Row],[Beftettotal]]&lt;=E$434,E$434,IF(Tabell2[[#This Row],[Beftettotal]]&gt;=E$435,E$435,Tabell2[[#This Row],[Beftettotal]]))</f>
        <v>1.3180632767674032</v>
      </c>
      <c r="P334" s="24">
        <f>IF(Tabell2[[#This Row],[Befvekst10]]&lt;=F$434,F$434,IF(Tabell2[[#This Row],[Befvekst10]]&gt;=F$435,F$435,Tabell2[[#This Row],[Befvekst10]]))</f>
        <v>-7.1062862685144085E-2</v>
      </c>
      <c r="Q334" s="24">
        <f>IF(Tabell2[[#This Row],[Kvinneandel]]&lt;=G$434,G$434,IF(Tabell2[[#This Row],[Kvinneandel]]&gt;=G$435,G$435,Tabell2[[#This Row],[Kvinneandel]]))</f>
        <v>8.9521819157910881E-2</v>
      </c>
      <c r="R334" s="24">
        <f>IF(Tabell2[[#This Row],[Eldreandel]]&lt;=H$434,H$434,IF(Tabell2[[#This Row],[Eldreandel]]&gt;=H$435,H$435,Tabell2[[#This Row],[Eldreandel]]))</f>
        <v>0.22032896051974013</v>
      </c>
      <c r="S334" s="24">
        <f>IF(Tabell2[[#This Row],[Sysselsettingsvekst10]]&lt;=I$434,I$434,IF(Tabell2[[#This Row],[Sysselsettingsvekst10]]&gt;=I$435,I$435,Tabell2[[#This Row],[Sysselsettingsvekst10]]))</f>
        <v>-9.2570207570207563E-2</v>
      </c>
      <c r="T334" s="24">
        <f>IF(Tabell2[[#This Row],[Yrkesaktivandel]]&lt;=J$434,J$434,IF(Tabell2[[#This Row],[Yrkesaktivandel]]&gt;=J$435,J$435,Tabell2[[#This Row],[Yrkesaktivandel]]))</f>
        <v>0.94066914614326791</v>
      </c>
      <c r="U334" s="24">
        <f>IF(Tabell2[[#This Row],[Inntekt]]&lt;=K$434,K$434,IF(Tabell2[[#This Row],[Inntekt]]&gt;=K$435,K$435,Tabell2[[#This Row],[Inntekt]]))</f>
        <v>361800</v>
      </c>
      <c r="V334" s="7">
        <f>IF(Tabell2[[#This Row],[NIBR11-T]]&lt;=L$437,100,IF(Tabell2[[#This Row],[NIBR11-T]]&gt;=L$436,0,100*(L$436-Tabell2[[#This Row],[NIBR11-T]])/L$439))</f>
        <v>0</v>
      </c>
      <c r="W334" s="7">
        <f>(M$436-Tabell2[[#This Row],[ReisetidOslo-T]])*100/M$439</f>
        <v>0</v>
      </c>
      <c r="X334" s="7">
        <f>100-(N$436-Tabell2[[#This Row],[Beftettland-T]])*100/N$439</f>
        <v>0</v>
      </c>
      <c r="Y334" s="7">
        <f>100-(O$436-Tabell2[[#This Row],[Beftettotal-T]])*100/O$439</f>
        <v>0</v>
      </c>
      <c r="Z334" s="7">
        <f>100-(P$436-Tabell2[[#This Row],[Befvekst10-T]])*100/P$439</f>
        <v>0</v>
      </c>
      <c r="AA334" s="7">
        <f>100-(Q$436-Tabell2[[#This Row],[Kvinneandel-T]])*100/Q$439</f>
        <v>0</v>
      </c>
      <c r="AB334" s="7">
        <f>(R$436-Tabell2[[#This Row],[Eldreandel-T]])*100/R$439</f>
        <v>0</v>
      </c>
      <c r="AC334" s="7">
        <f>100-(S$436-Tabell2[[#This Row],[Sysselsettingsvekst10-T]])*100/S$439</f>
        <v>0</v>
      </c>
      <c r="AD334" s="7">
        <f>100-(T$436-Tabell2[[#This Row],[Yrkesaktivandel-T]])*100/T$439</f>
        <v>100</v>
      </c>
      <c r="AE334" s="7">
        <f>100-(U$436-Tabell2[[#This Row],[Inntekt-T]])*100/U$439</f>
        <v>19.62532445547906</v>
      </c>
      <c r="AF334" s="7">
        <v>0</v>
      </c>
      <c r="AG334" s="7">
        <v>0</v>
      </c>
      <c r="AH334" s="7">
        <v>0</v>
      </c>
      <c r="AI334" s="7">
        <v>0</v>
      </c>
      <c r="AJ334" s="7">
        <v>0</v>
      </c>
      <c r="AK334" s="7">
        <v>0</v>
      </c>
      <c r="AL334" s="7">
        <v>0</v>
      </c>
      <c r="AM334" s="7">
        <v>10</v>
      </c>
      <c r="AN334" s="7">
        <v>1.9625324455479061</v>
      </c>
      <c r="AO33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11.962532445547906</v>
      </c>
    </row>
    <row r="335" spans="1:41" x14ac:dyDescent="0.3">
      <c r="A335" s="2" t="s">
        <v>332</v>
      </c>
      <c r="B335">
        <f>'Rådata-K'!N334</f>
        <v>11</v>
      </c>
      <c r="C335" s="7">
        <f>'Rådata-K'!M334</f>
        <v>302.48333333329998</v>
      </c>
      <c r="D335" s="24">
        <f>'Rådata-K'!O334</f>
        <v>0.64049052561592723</v>
      </c>
      <c r="E335" s="24">
        <f>'Rådata-K'!P334</f>
        <v>0.61178695419007023</v>
      </c>
      <c r="F335" s="24">
        <f>'Rådata-K'!Q334</f>
        <v>-5.6583242655059873E-2</v>
      </c>
      <c r="G335" s="24">
        <f>'Rådata-K'!R334</f>
        <v>8.9965397923875437E-2</v>
      </c>
      <c r="H335" s="24">
        <f>'Rådata-K'!S334</f>
        <v>0.24682814302191464</v>
      </c>
      <c r="I335" s="24">
        <f>'Rådata-K'!T334</f>
        <v>-4.020100502512558E-2</v>
      </c>
      <c r="J335" s="24">
        <f>'Rådata-K'!U334</f>
        <v>0.90044247787610621</v>
      </c>
      <c r="K335" s="24">
        <f>'Rådata-K'!L334</f>
        <v>352500</v>
      </c>
      <c r="L335" s="24">
        <f>Tabell2[[#This Row],[NIBR11]]</f>
        <v>11</v>
      </c>
      <c r="M335" s="24">
        <f>IF(Tabell2[[#This Row],[ReisetidOslo]]&lt;=C$434,C$434,IF(Tabell2[[#This Row],[ReisetidOslo]]&gt;=C$435,C$435,Tabell2[[#This Row],[ReisetidOslo]]))</f>
        <v>280.45666666669001</v>
      </c>
      <c r="N335" s="24">
        <f>IF(Tabell2[[#This Row],[Beftettland]]&lt;=D$434,D$434,IF(Tabell2[[#This Row],[Beftettland]]&gt;=D$435,D$435,Tabell2[[#This Row],[Beftettland]]))</f>
        <v>1.4025423756281519</v>
      </c>
      <c r="O335" s="24">
        <f>IF(Tabell2[[#This Row],[Beftettotal]]&lt;=E$434,E$434,IF(Tabell2[[#This Row],[Beftettotal]]&gt;=E$435,E$435,Tabell2[[#This Row],[Beftettotal]]))</f>
        <v>1.3180632767674032</v>
      </c>
      <c r="P335" s="24">
        <f>IF(Tabell2[[#This Row],[Befvekst10]]&lt;=F$434,F$434,IF(Tabell2[[#This Row],[Befvekst10]]&gt;=F$435,F$435,Tabell2[[#This Row],[Befvekst10]]))</f>
        <v>-5.6583242655059873E-2</v>
      </c>
      <c r="Q335" s="24">
        <f>IF(Tabell2[[#This Row],[Kvinneandel]]&lt;=G$434,G$434,IF(Tabell2[[#This Row],[Kvinneandel]]&gt;=G$435,G$435,Tabell2[[#This Row],[Kvinneandel]]))</f>
        <v>8.9965397923875437E-2</v>
      </c>
      <c r="R335" s="24">
        <f>IF(Tabell2[[#This Row],[Eldreandel]]&lt;=H$434,H$434,IF(Tabell2[[#This Row],[Eldreandel]]&gt;=H$435,H$435,Tabell2[[#This Row],[Eldreandel]]))</f>
        <v>0.22032896051974013</v>
      </c>
      <c r="S335" s="24">
        <f>IF(Tabell2[[#This Row],[Sysselsettingsvekst10]]&lt;=I$434,I$434,IF(Tabell2[[#This Row],[Sysselsettingsvekst10]]&gt;=I$435,I$435,Tabell2[[#This Row],[Sysselsettingsvekst10]]))</f>
        <v>-4.020100502512558E-2</v>
      </c>
      <c r="T335" s="24">
        <f>IF(Tabell2[[#This Row],[Yrkesaktivandel]]&lt;=J$434,J$434,IF(Tabell2[[#This Row],[Yrkesaktivandel]]&gt;=J$435,J$435,Tabell2[[#This Row],[Yrkesaktivandel]]))</f>
        <v>0.90044247787610621</v>
      </c>
      <c r="U335" s="24">
        <f>IF(Tabell2[[#This Row],[Inntekt]]&lt;=K$434,K$434,IF(Tabell2[[#This Row],[Inntekt]]&gt;=K$435,K$435,Tabell2[[#This Row],[Inntekt]]))</f>
        <v>352500</v>
      </c>
      <c r="V335" s="7">
        <f>IF(Tabell2[[#This Row],[NIBR11-T]]&lt;=L$437,100,IF(Tabell2[[#This Row],[NIBR11-T]]&gt;=L$436,0,100*(L$436-Tabell2[[#This Row],[NIBR11-T]])/L$439))</f>
        <v>0</v>
      </c>
      <c r="W335" s="7">
        <f>(M$436-Tabell2[[#This Row],[ReisetidOslo-T]])*100/M$439</f>
        <v>0</v>
      </c>
      <c r="X335" s="7">
        <f>100-(N$436-Tabell2[[#This Row],[Beftettland-T]])*100/N$439</f>
        <v>0</v>
      </c>
      <c r="Y335" s="7">
        <f>100-(O$436-Tabell2[[#This Row],[Beftettotal-T]])*100/O$439</f>
        <v>0</v>
      </c>
      <c r="Z335" s="7">
        <f>100-(P$436-Tabell2[[#This Row],[Befvekst10-T]])*100/P$439</f>
        <v>5.8607862320234858</v>
      </c>
      <c r="AA335" s="7">
        <f>100-(Q$436-Tabell2[[#This Row],[Kvinneandel-T]])*100/Q$439</f>
        <v>1.1653050481511542</v>
      </c>
      <c r="AB335" s="7">
        <f>(R$436-Tabell2[[#This Row],[Eldreandel-T]])*100/R$439</f>
        <v>0</v>
      </c>
      <c r="AC335" s="7">
        <f>100-(S$436-Tabell2[[#This Row],[Sysselsettingsvekst10-T]])*100/S$439</f>
        <v>17.090757374564802</v>
      </c>
      <c r="AD335" s="7">
        <f>100-(T$436-Tabell2[[#This Row],[Yrkesaktivandel-T]])*100/T$439</f>
        <v>71.628379374093029</v>
      </c>
      <c r="AE335" s="7">
        <f>100-(U$436-Tabell2[[#This Row],[Inntekt-T]])*100/U$439</f>
        <v>9.1298950457059078</v>
      </c>
      <c r="AF335" s="7">
        <v>0</v>
      </c>
      <c r="AG335" s="7">
        <v>0</v>
      </c>
      <c r="AH335" s="7">
        <v>0</v>
      </c>
      <c r="AI335" s="7">
        <v>1.1721572464046972</v>
      </c>
      <c r="AJ335" s="7">
        <v>5.8265252407557713E-2</v>
      </c>
      <c r="AK335" s="7">
        <v>0</v>
      </c>
      <c r="AL335" s="7">
        <v>1.7090757374564802</v>
      </c>
      <c r="AM335" s="7">
        <v>7.1628379374093036</v>
      </c>
      <c r="AN335" s="7">
        <v>0.9129895045705908</v>
      </c>
      <c r="AO33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11.01532567824863</v>
      </c>
    </row>
    <row r="336" spans="1:41" x14ac:dyDescent="0.3">
      <c r="A336" s="2" t="s">
        <v>333</v>
      </c>
      <c r="B336">
        <f>'Rådata-K'!N335</f>
        <v>6</v>
      </c>
      <c r="C336" s="7">
        <f>'Rådata-K'!M335</f>
        <v>246.6666666667</v>
      </c>
      <c r="D336" s="24">
        <f>'Rådata-K'!O335</f>
        <v>2.2468224682246825</v>
      </c>
      <c r="E336" s="24">
        <f>'Rådata-K'!P335</f>
        <v>2.1704498446535294</v>
      </c>
      <c r="F336" s="24">
        <f>'Rådata-K'!Q335</f>
        <v>2.0695364238410674E-2</v>
      </c>
      <c r="G336" s="24">
        <f>'Rådata-K'!R335</f>
        <v>9.7323600973236016E-2</v>
      </c>
      <c r="H336" s="24">
        <f>'Rådata-K'!S335</f>
        <v>0.18978102189781021</v>
      </c>
      <c r="I336" s="24">
        <f>'Rådata-K'!T335</f>
        <v>-3.7261698440207991E-2</v>
      </c>
      <c r="J336" s="24">
        <f>'Rådata-K'!U335</f>
        <v>0.86201780415430262</v>
      </c>
      <c r="K336" s="24">
        <f>'Rådata-K'!L335</f>
        <v>335100</v>
      </c>
      <c r="L336" s="24">
        <f>Tabell2[[#This Row],[NIBR11]]</f>
        <v>6</v>
      </c>
      <c r="M336" s="24">
        <f>IF(Tabell2[[#This Row],[ReisetidOslo]]&lt;=C$434,C$434,IF(Tabell2[[#This Row],[ReisetidOslo]]&gt;=C$435,C$435,Tabell2[[#This Row],[ReisetidOslo]]))</f>
        <v>246.6666666667</v>
      </c>
      <c r="N336" s="24">
        <f>IF(Tabell2[[#This Row],[Beftettland]]&lt;=D$434,D$434,IF(Tabell2[[#This Row],[Beftettland]]&gt;=D$435,D$435,Tabell2[[#This Row],[Beftettland]]))</f>
        <v>2.2468224682246825</v>
      </c>
      <c r="O336" s="24">
        <f>IF(Tabell2[[#This Row],[Beftettotal]]&lt;=E$434,E$434,IF(Tabell2[[#This Row],[Beftettotal]]&gt;=E$435,E$435,Tabell2[[#This Row],[Beftettotal]]))</f>
        <v>2.1704498446535294</v>
      </c>
      <c r="P336" s="24">
        <f>IF(Tabell2[[#This Row],[Befvekst10]]&lt;=F$434,F$434,IF(Tabell2[[#This Row],[Befvekst10]]&gt;=F$435,F$435,Tabell2[[#This Row],[Befvekst10]]))</f>
        <v>2.0695364238410674E-2</v>
      </c>
      <c r="Q336" s="24">
        <f>IF(Tabell2[[#This Row],[Kvinneandel]]&lt;=G$434,G$434,IF(Tabell2[[#This Row],[Kvinneandel]]&gt;=G$435,G$435,Tabell2[[#This Row],[Kvinneandel]]))</f>
        <v>9.7323600973236016E-2</v>
      </c>
      <c r="R336" s="24">
        <f>IF(Tabell2[[#This Row],[Eldreandel]]&lt;=H$434,H$434,IF(Tabell2[[#This Row],[Eldreandel]]&gt;=H$435,H$435,Tabell2[[#This Row],[Eldreandel]]))</f>
        <v>0.18978102189781021</v>
      </c>
      <c r="S336" s="24">
        <f>IF(Tabell2[[#This Row],[Sysselsettingsvekst10]]&lt;=I$434,I$434,IF(Tabell2[[#This Row],[Sysselsettingsvekst10]]&gt;=I$435,I$435,Tabell2[[#This Row],[Sysselsettingsvekst10]]))</f>
        <v>-3.7261698440207991E-2</v>
      </c>
      <c r="T336" s="24">
        <f>IF(Tabell2[[#This Row],[Yrkesaktivandel]]&lt;=J$434,J$434,IF(Tabell2[[#This Row],[Yrkesaktivandel]]&gt;=J$435,J$435,Tabell2[[#This Row],[Yrkesaktivandel]]))</f>
        <v>0.86201780415430262</v>
      </c>
      <c r="U336" s="24">
        <f>IF(Tabell2[[#This Row],[Inntekt]]&lt;=K$434,K$434,IF(Tabell2[[#This Row],[Inntekt]]&gt;=K$435,K$435,Tabell2[[#This Row],[Inntekt]]))</f>
        <v>344410</v>
      </c>
      <c r="V336" s="7">
        <f>IF(Tabell2[[#This Row],[NIBR11-T]]&lt;=L$437,100,IF(Tabell2[[#This Row],[NIBR11-T]]&gt;=L$436,0,100*(L$436-Tabell2[[#This Row],[NIBR11-T]])/L$439))</f>
        <v>50</v>
      </c>
      <c r="W336" s="7">
        <f>(M$436-Tabell2[[#This Row],[ReisetidOslo-T]])*100/M$439</f>
        <v>14.825594149902692</v>
      </c>
      <c r="X336" s="7">
        <f>100-(N$436-Tabell2[[#This Row],[Beftettland-T]])*100/N$439</f>
        <v>0.62451714540726755</v>
      </c>
      <c r="Y336" s="7">
        <f>100-(O$436-Tabell2[[#This Row],[Beftettotal-T]])*100/O$439</f>
        <v>0.65244955174301822</v>
      </c>
      <c r="Z336" s="7">
        <f>100-(P$436-Tabell2[[#This Row],[Befvekst10-T]])*100/P$439</f>
        <v>37.140156434431589</v>
      </c>
      <c r="AA336" s="7">
        <f>100-(Q$436-Tabell2[[#This Row],[Kvinneandel-T]])*100/Q$439</f>
        <v>20.495696438947064</v>
      </c>
      <c r="AB336" s="7">
        <f>(R$436-Tabell2[[#This Row],[Eldreandel-T]])*100/R$439</f>
        <v>32.969010421865491</v>
      </c>
      <c r="AC336" s="7">
        <f>100-(S$436-Tabell2[[#This Row],[Sysselsettingsvekst10-T]])*100/S$439</f>
        <v>18.05000390212156</v>
      </c>
      <c r="AD336" s="7">
        <f>100-(T$436-Tabell2[[#This Row],[Yrkesaktivandel-T]])*100/T$439</f>
        <v>44.527694369085829</v>
      </c>
      <c r="AE336" s="7">
        <f>100-(U$436-Tabell2[[#This Row],[Inntekt-T]])*100/U$439</f>
        <v>0</v>
      </c>
      <c r="AF336" s="7">
        <v>10</v>
      </c>
      <c r="AG336" s="7">
        <v>1.4825594149902692</v>
      </c>
      <c r="AH336" s="7">
        <v>6.524495517430183E-2</v>
      </c>
      <c r="AI336" s="7">
        <v>7.4280312868863181</v>
      </c>
      <c r="AJ336" s="7">
        <v>1.0247848219473532</v>
      </c>
      <c r="AK336" s="7">
        <v>1.6484505210932747</v>
      </c>
      <c r="AL336" s="7">
        <v>1.8050003902121561</v>
      </c>
      <c r="AM336" s="7">
        <v>4.4527694369085831</v>
      </c>
      <c r="AN336" s="7">
        <v>0</v>
      </c>
      <c r="AO33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27.906840827212257</v>
      </c>
    </row>
    <row r="337" spans="1:41" x14ac:dyDescent="0.3">
      <c r="A337" s="2" t="s">
        <v>334</v>
      </c>
      <c r="B337">
        <f>'Rådata-K'!N336</f>
        <v>6</v>
      </c>
      <c r="C337" s="7">
        <f>'Rådata-K'!M336</f>
        <v>249.25</v>
      </c>
      <c r="D337" s="24">
        <f>'Rådata-K'!O336</f>
        <v>1.7790048958214733</v>
      </c>
      <c r="E337" s="24">
        <f>'Rådata-K'!P336</f>
        <v>1.6569019909334324</v>
      </c>
      <c r="F337" s="24">
        <f>'Rådata-K'!Q336</f>
        <v>-2.2673964034401917E-2</v>
      </c>
      <c r="G337" s="24">
        <f>'Rådata-K'!R336</f>
        <v>8.9599999999999999E-2</v>
      </c>
      <c r="H337" s="24">
        <f>'Rådata-K'!S336</f>
        <v>0.2056</v>
      </c>
      <c r="I337" s="24">
        <f>'Rådata-K'!T336</f>
        <v>7.4309978768577478E-2</v>
      </c>
      <c r="J337" s="24">
        <f>'Rådata-K'!U336</f>
        <v>1.0243111831442464</v>
      </c>
      <c r="K337" s="24">
        <f>'Rådata-K'!L336</f>
        <v>372200</v>
      </c>
      <c r="L337" s="24">
        <f>Tabell2[[#This Row],[NIBR11]]</f>
        <v>6</v>
      </c>
      <c r="M337" s="24">
        <f>IF(Tabell2[[#This Row],[ReisetidOslo]]&lt;=C$434,C$434,IF(Tabell2[[#This Row],[ReisetidOslo]]&gt;=C$435,C$435,Tabell2[[#This Row],[ReisetidOslo]]))</f>
        <v>249.25</v>
      </c>
      <c r="N337" s="24">
        <f>IF(Tabell2[[#This Row],[Beftettland]]&lt;=D$434,D$434,IF(Tabell2[[#This Row],[Beftettland]]&gt;=D$435,D$435,Tabell2[[#This Row],[Beftettland]]))</f>
        <v>1.7790048958214733</v>
      </c>
      <c r="O337" s="24">
        <f>IF(Tabell2[[#This Row],[Beftettotal]]&lt;=E$434,E$434,IF(Tabell2[[#This Row],[Beftettotal]]&gt;=E$435,E$435,Tabell2[[#This Row],[Beftettotal]]))</f>
        <v>1.6569019909334324</v>
      </c>
      <c r="P337" s="24">
        <f>IF(Tabell2[[#This Row],[Befvekst10]]&lt;=F$434,F$434,IF(Tabell2[[#This Row],[Befvekst10]]&gt;=F$435,F$435,Tabell2[[#This Row],[Befvekst10]]))</f>
        <v>-2.2673964034401917E-2</v>
      </c>
      <c r="Q337" s="24">
        <f>IF(Tabell2[[#This Row],[Kvinneandel]]&lt;=G$434,G$434,IF(Tabell2[[#This Row],[Kvinneandel]]&gt;=G$435,G$435,Tabell2[[#This Row],[Kvinneandel]]))</f>
        <v>8.9599999999999999E-2</v>
      </c>
      <c r="R337" s="24">
        <f>IF(Tabell2[[#This Row],[Eldreandel]]&lt;=H$434,H$434,IF(Tabell2[[#This Row],[Eldreandel]]&gt;=H$435,H$435,Tabell2[[#This Row],[Eldreandel]]))</f>
        <v>0.2056</v>
      </c>
      <c r="S337" s="24">
        <f>IF(Tabell2[[#This Row],[Sysselsettingsvekst10]]&lt;=I$434,I$434,IF(Tabell2[[#This Row],[Sysselsettingsvekst10]]&gt;=I$435,I$435,Tabell2[[#This Row],[Sysselsettingsvekst10]]))</f>
        <v>7.4309978768577478E-2</v>
      </c>
      <c r="T337" s="24">
        <f>IF(Tabell2[[#This Row],[Yrkesaktivandel]]&lt;=J$434,J$434,IF(Tabell2[[#This Row],[Yrkesaktivandel]]&gt;=J$435,J$435,Tabell2[[#This Row],[Yrkesaktivandel]]))</f>
        <v>0.94066914614326791</v>
      </c>
      <c r="U337" s="24">
        <f>IF(Tabell2[[#This Row],[Inntekt]]&lt;=K$434,K$434,IF(Tabell2[[#This Row],[Inntekt]]&gt;=K$435,K$435,Tabell2[[#This Row],[Inntekt]]))</f>
        <v>372200</v>
      </c>
      <c r="V337" s="7">
        <f>IF(Tabell2[[#This Row],[NIBR11-T]]&lt;=L$437,100,IF(Tabell2[[#This Row],[NIBR11-T]]&gt;=L$436,0,100*(L$436-Tabell2[[#This Row],[NIBR11-T]])/L$439))</f>
        <v>50</v>
      </c>
      <c r="W337" s="7">
        <f>(M$436-Tabell2[[#This Row],[ReisetidOslo-T]])*100/M$439</f>
        <v>13.692138939679772</v>
      </c>
      <c r="X337" s="7">
        <f>100-(N$436-Tabell2[[#This Row],[Beftettland-T]])*100/N$439</f>
        <v>0.27847073563100366</v>
      </c>
      <c r="Y337" s="7">
        <f>100-(O$436-Tabell2[[#This Row],[Beftettotal-T]])*100/O$439</f>
        <v>0.25936021929470598</v>
      </c>
      <c r="Z337" s="7">
        <f>100-(P$436-Tabell2[[#This Row],[Befvekst10-T]])*100/P$439</f>
        <v>19.585941509916836</v>
      </c>
      <c r="AA337" s="7">
        <f>100-(Q$436-Tabell2[[#This Row],[Kvinneandel-T]])*100/Q$439</f>
        <v>0.20538523695347521</v>
      </c>
      <c r="AB337" s="7">
        <f>(R$436-Tabell2[[#This Row],[Eldreandel-T]])*100/R$439</f>
        <v>15.896301838512695</v>
      </c>
      <c r="AC337" s="7">
        <f>100-(S$436-Tabell2[[#This Row],[Sysselsettingsvekst10-T]])*100/S$439</f>
        <v>54.46156589616011</v>
      </c>
      <c r="AD337" s="7">
        <f>100-(T$436-Tabell2[[#This Row],[Yrkesaktivandel-T]])*100/T$439</f>
        <v>100</v>
      </c>
      <c r="AE337" s="7">
        <f>100-(U$436-Tabell2[[#This Row],[Inntekt-T]])*100/U$439</f>
        <v>31.362148741677018</v>
      </c>
      <c r="AF337" s="7">
        <v>10</v>
      </c>
      <c r="AG337" s="7">
        <v>1.3692138939679772</v>
      </c>
      <c r="AH337" s="7">
        <v>2.5936021929470601E-2</v>
      </c>
      <c r="AI337" s="7">
        <v>3.9171883019833675</v>
      </c>
      <c r="AJ337" s="7">
        <v>1.0269261847673761E-2</v>
      </c>
      <c r="AK337" s="7">
        <v>0.79481509192563482</v>
      </c>
      <c r="AL337" s="7">
        <v>5.4461565896160113</v>
      </c>
      <c r="AM337" s="7">
        <v>10</v>
      </c>
      <c r="AN337" s="7">
        <v>3.1362148741677021</v>
      </c>
      <c r="AO33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34.699794035437833</v>
      </c>
    </row>
    <row r="338" spans="1:41" x14ac:dyDescent="0.3">
      <c r="A338" s="2" t="s">
        <v>335</v>
      </c>
      <c r="B338">
        <f>'Rådata-K'!N337</f>
        <v>6</v>
      </c>
      <c r="C338" s="7">
        <f>'Rådata-K'!M337</f>
        <v>227.36666666669998</v>
      </c>
      <c r="D338" s="24">
        <f>'Rådata-K'!O337</f>
        <v>5.5483028720626635</v>
      </c>
      <c r="E338" s="24">
        <f>'Rådata-K'!P337</f>
        <v>5.2412337795804271</v>
      </c>
      <c r="F338" s="24">
        <f>'Rådata-K'!Q337</f>
        <v>9.5047237331806533E-2</v>
      </c>
      <c r="G338" s="24">
        <f>'Rådata-K'!R337</f>
        <v>0.11947712418300653</v>
      </c>
      <c r="H338" s="24">
        <f>'Rådata-K'!S337</f>
        <v>0.15372549019607842</v>
      </c>
      <c r="I338" s="24">
        <f>'Rådata-K'!T337</f>
        <v>7.6358296622613731E-2</v>
      </c>
      <c r="J338" s="24">
        <f>'Rådata-K'!U337</f>
        <v>0.90478424015009384</v>
      </c>
      <c r="K338" s="24">
        <f>'Rådata-K'!L337</f>
        <v>378600</v>
      </c>
      <c r="L338" s="24">
        <f>Tabell2[[#This Row],[NIBR11]]</f>
        <v>6</v>
      </c>
      <c r="M338" s="24">
        <f>IF(Tabell2[[#This Row],[ReisetidOslo]]&lt;=C$434,C$434,IF(Tabell2[[#This Row],[ReisetidOslo]]&gt;=C$435,C$435,Tabell2[[#This Row],[ReisetidOslo]]))</f>
        <v>227.36666666669998</v>
      </c>
      <c r="N338" s="24">
        <f>IF(Tabell2[[#This Row],[Beftettland]]&lt;=D$434,D$434,IF(Tabell2[[#This Row],[Beftettland]]&gt;=D$435,D$435,Tabell2[[#This Row],[Beftettland]]))</f>
        <v>5.5483028720626635</v>
      </c>
      <c r="O338" s="24">
        <f>IF(Tabell2[[#This Row],[Beftettotal]]&lt;=E$434,E$434,IF(Tabell2[[#This Row],[Beftettotal]]&gt;=E$435,E$435,Tabell2[[#This Row],[Beftettotal]]))</f>
        <v>5.2412337795804271</v>
      </c>
      <c r="P338" s="24">
        <f>IF(Tabell2[[#This Row],[Befvekst10]]&lt;=F$434,F$434,IF(Tabell2[[#This Row],[Befvekst10]]&gt;=F$435,F$435,Tabell2[[#This Row],[Befvekst10]]))</f>
        <v>9.5047237331806533E-2</v>
      </c>
      <c r="Q338" s="24">
        <f>IF(Tabell2[[#This Row],[Kvinneandel]]&lt;=G$434,G$434,IF(Tabell2[[#This Row],[Kvinneandel]]&gt;=G$435,G$435,Tabell2[[#This Row],[Kvinneandel]]))</f>
        <v>0.11947712418300653</v>
      </c>
      <c r="R338" s="24">
        <f>IF(Tabell2[[#This Row],[Eldreandel]]&lt;=H$434,H$434,IF(Tabell2[[#This Row],[Eldreandel]]&gt;=H$435,H$435,Tabell2[[#This Row],[Eldreandel]]))</f>
        <v>0.15372549019607842</v>
      </c>
      <c r="S338" s="24">
        <f>IF(Tabell2[[#This Row],[Sysselsettingsvekst10]]&lt;=I$434,I$434,IF(Tabell2[[#This Row],[Sysselsettingsvekst10]]&gt;=I$435,I$435,Tabell2[[#This Row],[Sysselsettingsvekst10]]))</f>
        <v>7.6358296622613731E-2</v>
      </c>
      <c r="T338" s="24">
        <f>IF(Tabell2[[#This Row],[Yrkesaktivandel]]&lt;=J$434,J$434,IF(Tabell2[[#This Row],[Yrkesaktivandel]]&gt;=J$435,J$435,Tabell2[[#This Row],[Yrkesaktivandel]]))</f>
        <v>0.90478424015009384</v>
      </c>
      <c r="U338" s="24">
        <f>IF(Tabell2[[#This Row],[Inntekt]]&lt;=K$434,K$434,IF(Tabell2[[#This Row],[Inntekt]]&gt;=K$435,K$435,Tabell2[[#This Row],[Inntekt]]))</f>
        <v>378600</v>
      </c>
      <c r="V338" s="7">
        <f>IF(Tabell2[[#This Row],[NIBR11-T]]&lt;=L$437,100,IF(Tabell2[[#This Row],[NIBR11-T]]&gt;=L$436,0,100*(L$436-Tabell2[[#This Row],[NIBR11-T]])/L$439))</f>
        <v>50</v>
      </c>
      <c r="W338" s="7">
        <f>(M$436-Tabell2[[#This Row],[ReisetidOslo-T]])*100/M$439</f>
        <v>23.29360146251609</v>
      </c>
      <c r="X338" s="7">
        <f>100-(N$436-Tabell2[[#This Row],[Beftettland-T]])*100/N$439</f>
        <v>3.0666345605909981</v>
      </c>
      <c r="Y338" s="7">
        <f>100-(O$436-Tabell2[[#This Row],[Beftettotal-T]])*100/O$439</f>
        <v>3.0029460017414493</v>
      </c>
      <c r="Z338" s="7">
        <f>100-(P$436-Tabell2[[#This Row],[Befvekst10-T]])*100/P$439</f>
        <v>67.234898785788559</v>
      </c>
      <c r="AA338" s="7">
        <f>100-(Q$436-Tabell2[[#This Row],[Kvinneandel-T]])*100/Q$439</f>
        <v>78.694182055236027</v>
      </c>
      <c r="AB338" s="7">
        <f>(R$436-Tabell2[[#This Row],[Eldreandel-T]])*100/R$439</f>
        <v>71.882117297984962</v>
      </c>
      <c r="AC338" s="7">
        <f>100-(S$436-Tabell2[[#This Row],[Sysselsettingsvekst10-T]])*100/S$439</f>
        <v>55.130037092359572</v>
      </c>
      <c r="AD338" s="7">
        <f>100-(T$436-Tabell2[[#This Row],[Yrkesaktivandel-T]])*100/T$439</f>
        <v>74.690597484410915</v>
      </c>
      <c r="AE338" s="7">
        <f>100-(U$436-Tabell2[[#This Row],[Inntekt-T]])*100/U$439</f>
        <v>38.584809840875749</v>
      </c>
      <c r="AF338" s="7">
        <v>10</v>
      </c>
      <c r="AG338" s="7">
        <v>2.3293601462516089</v>
      </c>
      <c r="AH338" s="7">
        <v>0.30029460017414494</v>
      </c>
      <c r="AI338" s="7">
        <v>13.446979757157713</v>
      </c>
      <c r="AJ338" s="7">
        <v>3.9347091027618015</v>
      </c>
      <c r="AK338" s="7">
        <v>3.5941058648992481</v>
      </c>
      <c r="AL338" s="7">
        <v>5.5130037092359574</v>
      </c>
      <c r="AM338" s="7">
        <v>7.4690597484410919</v>
      </c>
      <c r="AN338" s="7">
        <v>3.8584809840875751</v>
      </c>
      <c r="AO33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50.44599391300914</v>
      </c>
    </row>
    <row r="339" spans="1:41" x14ac:dyDescent="0.3">
      <c r="A339" s="2" t="s">
        <v>336</v>
      </c>
      <c r="B339">
        <f>'Rådata-K'!N338</f>
        <v>6</v>
      </c>
      <c r="C339" s="7">
        <f>'Rådata-K'!M338</f>
        <v>248.61666666669998</v>
      </c>
      <c r="D339" s="24">
        <f>'Rådata-K'!O338</f>
        <v>1.3370508839743995</v>
      </c>
      <c r="E339" s="24">
        <f>'Rådata-K'!P338</f>
        <v>1.1630257041541883</v>
      </c>
      <c r="F339" s="24">
        <f>'Rådata-K'!Q338</f>
        <v>-0.11344537815126055</v>
      </c>
      <c r="G339" s="24">
        <f>'Rådata-K'!R338</f>
        <v>8.0568720379146919E-2</v>
      </c>
      <c r="H339" s="24">
        <f>'Rådata-K'!S338</f>
        <v>0.24486571879936808</v>
      </c>
      <c r="I339" s="24">
        <f>'Rådata-K'!T338</f>
        <v>-4.0485829959514219E-2</v>
      </c>
      <c r="J339" s="24">
        <f>'Rådata-K'!U338</f>
        <v>0.87164179104477613</v>
      </c>
      <c r="K339" s="24">
        <f>'Rådata-K'!L338</f>
        <v>326900</v>
      </c>
      <c r="L339" s="24">
        <f>Tabell2[[#This Row],[NIBR11]]</f>
        <v>6</v>
      </c>
      <c r="M339" s="24">
        <f>IF(Tabell2[[#This Row],[ReisetidOslo]]&lt;=C$434,C$434,IF(Tabell2[[#This Row],[ReisetidOslo]]&gt;=C$435,C$435,Tabell2[[#This Row],[ReisetidOslo]]))</f>
        <v>248.61666666669998</v>
      </c>
      <c r="N339" s="24">
        <f>IF(Tabell2[[#This Row],[Beftettland]]&lt;=D$434,D$434,IF(Tabell2[[#This Row],[Beftettland]]&gt;=D$435,D$435,Tabell2[[#This Row],[Beftettland]]))</f>
        <v>1.4025423756281519</v>
      </c>
      <c r="O339" s="24">
        <f>IF(Tabell2[[#This Row],[Beftettotal]]&lt;=E$434,E$434,IF(Tabell2[[#This Row],[Beftettotal]]&gt;=E$435,E$435,Tabell2[[#This Row],[Beftettotal]]))</f>
        <v>1.3180632767674032</v>
      </c>
      <c r="P339" s="24">
        <f>IF(Tabell2[[#This Row],[Befvekst10]]&lt;=F$434,F$434,IF(Tabell2[[#This Row],[Befvekst10]]&gt;=F$435,F$435,Tabell2[[#This Row],[Befvekst10]]))</f>
        <v>-7.1062862685144085E-2</v>
      </c>
      <c r="Q339" s="24">
        <f>IF(Tabell2[[#This Row],[Kvinneandel]]&lt;=G$434,G$434,IF(Tabell2[[#This Row],[Kvinneandel]]&gt;=G$435,G$435,Tabell2[[#This Row],[Kvinneandel]]))</f>
        <v>8.9521819157910881E-2</v>
      </c>
      <c r="R339" s="24">
        <f>IF(Tabell2[[#This Row],[Eldreandel]]&lt;=H$434,H$434,IF(Tabell2[[#This Row],[Eldreandel]]&gt;=H$435,H$435,Tabell2[[#This Row],[Eldreandel]]))</f>
        <v>0.22032896051974013</v>
      </c>
      <c r="S339" s="24">
        <f>IF(Tabell2[[#This Row],[Sysselsettingsvekst10]]&lt;=I$434,I$434,IF(Tabell2[[#This Row],[Sysselsettingsvekst10]]&gt;=I$435,I$435,Tabell2[[#This Row],[Sysselsettingsvekst10]]))</f>
        <v>-4.0485829959514219E-2</v>
      </c>
      <c r="T339" s="24">
        <f>IF(Tabell2[[#This Row],[Yrkesaktivandel]]&lt;=J$434,J$434,IF(Tabell2[[#This Row],[Yrkesaktivandel]]&gt;=J$435,J$435,Tabell2[[#This Row],[Yrkesaktivandel]]))</f>
        <v>0.87164179104477613</v>
      </c>
      <c r="U339" s="24">
        <f>IF(Tabell2[[#This Row],[Inntekt]]&lt;=K$434,K$434,IF(Tabell2[[#This Row],[Inntekt]]&gt;=K$435,K$435,Tabell2[[#This Row],[Inntekt]]))</f>
        <v>344410</v>
      </c>
      <c r="V339" s="7">
        <f>IF(Tabell2[[#This Row],[NIBR11-T]]&lt;=L$437,100,IF(Tabell2[[#This Row],[NIBR11-T]]&gt;=L$436,0,100*(L$436-Tabell2[[#This Row],[NIBR11-T]])/L$439))</f>
        <v>50</v>
      </c>
      <c r="W339" s="7">
        <f>(M$436-Tabell2[[#This Row],[ReisetidOslo-T]])*100/M$439</f>
        <v>13.970018281529843</v>
      </c>
      <c r="X339" s="7">
        <f>100-(N$436-Tabell2[[#This Row],[Beftettland-T]])*100/N$439</f>
        <v>0</v>
      </c>
      <c r="Y339" s="7">
        <f>100-(O$436-Tabell2[[#This Row],[Beftettotal-T]])*100/O$439</f>
        <v>0</v>
      </c>
      <c r="Z339" s="7">
        <f>100-(P$436-Tabell2[[#This Row],[Befvekst10-T]])*100/P$439</f>
        <v>0</v>
      </c>
      <c r="AA339" s="7">
        <f>100-(Q$436-Tabell2[[#This Row],[Kvinneandel-T]])*100/Q$439</f>
        <v>0</v>
      </c>
      <c r="AB339" s="7">
        <f>(R$436-Tabell2[[#This Row],[Eldreandel-T]])*100/R$439</f>
        <v>0</v>
      </c>
      <c r="AC339" s="7">
        <f>100-(S$436-Tabell2[[#This Row],[Sysselsettingsvekst10-T]])*100/S$439</f>
        <v>16.997804386715259</v>
      </c>
      <c r="AD339" s="7">
        <f>100-(T$436-Tabell2[[#This Row],[Yrkesaktivandel-T]])*100/T$439</f>
        <v>51.315432870116858</v>
      </c>
      <c r="AE339" s="7">
        <f>100-(U$436-Tabell2[[#This Row],[Inntekt-T]])*100/U$439</f>
        <v>0</v>
      </c>
      <c r="AF339" s="7">
        <v>10</v>
      </c>
      <c r="AG339" s="7">
        <v>1.3970018281529843</v>
      </c>
      <c r="AH339" s="7">
        <v>0</v>
      </c>
      <c r="AI339" s="7">
        <v>0</v>
      </c>
      <c r="AJ339" s="7">
        <v>0</v>
      </c>
      <c r="AK339" s="7">
        <v>0</v>
      </c>
      <c r="AL339" s="7">
        <v>1.6997804386715261</v>
      </c>
      <c r="AM339" s="7">
        <v>5.1315432870116862</v>
      </c>
      <c r="AN339" s="7">
        <v>0</v>
      </c>
      <c r="AO33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18.228325553836196</v>
      </c>
    </row>
    <row r="340" spans="1:41" x14ac:dyDescent="0.3">
      <c r="A340" s="2" t="s">
        <v>337</v>
      </c>
      <c r="B340">
        <f>'Rådata-K'!N339</f>
        <v>11</v>
      </c>
      <c r="C340" s="7">
        <f>'Rådata-K'!M339</f>
        <v>265.8333333333</v>
      </c>
      <c r="D340" s="24">
        <f>'Rådata-K'!O339</f>
        <v>2.5442886141354495</v>
      </c>
      <c r="E340" s="24">
        <f>'Rådata-K'!P339</f>
        <v>2.4045693357458964</v>
      </c>
      <c r="F340" s="24">
        <f>'Rådata-K'!Q339</f>
        <v>-6.0477001703577504E-2</v>
      </c>
      <c r="G340" s="24">
        <f>'Rådata-K'!R339</f>
        <v>9.0661831368993653E-2</v>
      </c>
      <c r="H340" s="24">
        <f>'Rådata-K'!S339</f>
        <v>0.20308250226654578</v>
      </c>
      <c r="I340" s="24">
        <f>'Rådata-K'!T339</f>
        <v>0.26682692307692313</v>
      </c>
      <c r="J340" s="24">
        <f>'Rådata-K'!U339</f>
        <v>0.94711538461538458</v>
      </c>
      <c r="K340" s="24">
        <f>'Rådata-K'!L339</f>
        <v>348900</v>
      </c>
      <c r="L340" s="24">
        <f>Tabell2[[#This Row],[NIBR11]]</f>
        <v>11</v>
      </c>
      <c r="M340" s="24">
        <f>IF(Tabell2[[#This Row],[ReisetidOslo]]&lt;=C$434,C$434,IF(Tabell2[[#This Row],[ReisetidOslo]]&gt;=C$435,C$435,Tabell2[[#This Row],[ReisetidOslo]]))</f>
        <v>265.8333333333</v>
      </c>
      <c r="N340" s="24">
        <f>IF(Tabell2[[#This Row],[Beftettland]]&lt;=D$434,D$434,IF(Tabell2[[#This Row],[Beftettland]]&gt;=D$435,D$435,Tabell2[[#This Row],[Beftettland]]))</f>
        <v>2.5442886141354495</v>
      </c>
      <c r="O340" s="24">
        <f>IF(Tabell2[[#This Row],[Beftettotal]]&lt;=E$434,E$434,IF(Tabell2[[#This Row],[Beftettotal]]&gt;=E$435,E$435,Tabell2[[#This Row],[Beftettotal]]))</f>
        <v>2.4045693357458964</v>
      </c>
      <c r="P340" s="24">
        <f>IF(Tabell2[[#This Row],[Befvekst10]]&lt;=F$434,F$434,IF(Tabell2[[#This Row],[Befvekst10]]&gt;=F$435,F$435,Tabell2[[#This Row],[Befvekst10]]))</f>
        <v>-6.0477001703577504E-2</v>
      </c>
      <c r="Q340" s="24">
        <f>IF(Tabell2[[#This Row],[Kvinneandel]]&lt;=G$434,G$434,IF(Tabell2[[#This Row],[Kvinneandel]]&gt;=G$435,G$435,Tabell2[[#This Row],[Kvinneandel]]))</f>
        <v>9.0661831368993653E-2</v>
      </c>
      <c r="R340" s="24">
        <f>IF(Tabell2[[#This Row],[Eldreandel]]&lt;=H$434,H$434,IF(Tabell2[[#This Row],[Eldreandel]]&gt;=H$435,H$435,Tabell2[[#This Row],[Eldreandel]]))</f>
        <v>0.20308250226654578</v>
      </c>
      <c r="S340" s="24">
        <f>IF(Tabell2[[#This Row],[Sysselsettingsvekst10]]&lt;=I$434,I$434,IF(Tabell2[[#This Row],[Sysselsettingsvekst10]]&gt;=I$435,I$435,Tabell2[[#This Row],[Sysselsettingsvekst10]]))</f>
        <v>0.21384805931725109</v>
      </c>
      <c r="T340" s="24">
        <f>IF(Tabell2[[#This Row],[Yrkesaktivandel]]&lt;=J$434,J$434,IF(Tabell2[[#This Row],[Yrkesaktivandel]]&gt;=J$435,J$435,Tabell2[[#This Row],[Yrkesaktivandel]]))</f>
        <v>0.94066914614326791</v>
      </c>
      <c r="U340" s="24">
        <f>IF(Tabell2[[#This Row],[Inntekt]]&lt;=K$434,K$434,IF(Tabell2[[#This Row],[Inntekt]]&gt;=K$435,K$435,Tabell2[[#This Row],[Inntekt]]))</f>
        <v>348900</v>
      </c>
      <c r="V340" s="7">
        <f>IF(Tabell2[[#This Row],[NIBR11-T]]&lt;=L$437,100,IF(Tabell2[[#This Row],[NIBR11-T]]&gt;=L$436,0,100*(L$436-Tabell2[[#This Row],[NIBR11-T]])/L$439))</f>
        <v>0</v>
      </c>
      <c r="W340" s="7">
        <f>(M$436-Tabell2[[#This Row],[ReisetidOslo-T]])*100/M$439</f>
        <v>6.4160877513953238</v>
      </c>
      <c r="X340" s="7">
        <f>100-(N$436-Tabell2[[#This Row],[Beftettland-T]])*100/N$439</f>
        <v>0.84455396722567855</v>
      </c>
      <c r="Y340" s="7">
        <f>100-(O$436-Tabell2[[#This Row],[Beftettotal-T]])*100/O$439</f>
        <v>0.83165363915178148</v>
      </c>
      <c r="Z340" s="7">
        <f>100-(P$436-Tabell2[[#This Row],[Befvekst10-T]])*100/P$439</f>
        <v>4.2847442243634077</v>
      </c>
      <c r="AA340" s="7">
        <f>100-(Q$436-Tabell2[[#This Row],[Kvinneandel-T]])*100/Q$439</f>
        <v>2.9948728083049616</v>
      </c>
      <c r="AB340" s="7">
        <f>(R$436-Tabell2[[#This Row],[Eldreandel-T]])*100/R$439</f>
        <v>18.61332343654913</v>
      </c>
      <c r="AC340" s="7">
        <f>100-(S$436-Tabell2[[#This Row],[Sysselsettingsvekst10-T]])*100/S$439</f>
        <v>100</v>
      </c>
      <c r="AD340" s="7">
        <f>100-(T$436-Tabell2[[#This Row],[Yrkesaktivandel-T]])*100/T$439</f>
        <v>100</v>
      </c>
      <c r="AE340" s="7">
        <f>100-(U$436-Tabell2[[#This Row],[Inntekt-T]])*100/U$439</f>
        <v>5.0671481774066081</v>
      </c>
      <c r="AF340" s="7">
        <v>0</v>
      </c>
      <c r="AG340" s="7">
        <v>0.64160877513953241</v>
      </c>
      <c r="AH340" s="7">
        <v>8.3165363915178148E-2</v>
      </c>
      <c r="AI340" s="7">
        <v>0.85694884487268164</v>
      </c>
      <c r="AJ340" s="7">
        <v>0.1497436404152481</v>
      </c>
      <c r="AK340" s="7">
        <v>0.93066617182745659</v>
      </c>
      <c r="AL340" s="7">
        <v>10</v>
      </c>
      <c r="AM340" s="7">
        <v>10</v>
      </c>
      <c r="AN340" s="7">
        <v>0.50671481774066085</v>
      </c>
      <c r="AO34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23.16884761391076</v>
      </c>
    </row>
    <row r="341" spans="1:41" x14ac:dyDescent="0.3">
      <c r="A341" s="2" t="s">
        <v>338</v>
      </c>
      <c r="B341">
        <f>'Rådata-K'!N340</f>
        <v>9</v>
      </c>
      <c r="C341" s="7">
        <f>'Rådata-K'!M340</f>
        <v>219.71666666666999</v>
      </c>
      <c r="D341" s="24">
        <f>'Rådata-K'!O340</f>
        <v>14.098855894073788</v>
      </c>
      <c r="E341" s="24">
        <f>'Rådata-K'!P340</f>
        <v>13.766160411698255</v>
      </c>
      <c r="F341" s="24">
        <f>'Rådata-K'!Q340</f>
        <v>9.3742208925454928E-2</v>
      </c>
      <c r="G341" s="24">
        <f>'Rådata-K'!R340</f>
        <v>0.12217916571689082</v>
      </c>
      <c r="H341" s="24">
        <f>'Rådata-K'!S340</f>
        <v>0.14656940961932985</v>
      </c>
      <c r="I341" s="24">
        <f>'Rådata-K'!T340</f>
        <v>0.10613751730503007</v>
      </c>
      <c r="J341" s="24">
        <f>'Rådata-K'!U340</f>
        <v>0.8609775641025641</v>
      </c>
      <c r="K341" s="24">
        <f>'Rådata-K'!L340</f>
        <v>392900</v>
      </c>
      <c r="L341" s="24">
        <f>Tabell2[[#This Row],[NIBR11]]</f>
        <v>9</v>
      </c>
      <c r="M341" s="24">
        <f>IF(Tabell2[[#This Row],[ReisetidOslo]]&lt;=C$434,C$434,IF(Tabell2[[#This Row],[ReisetidOslo]]&gt;=C$435,C$435,Tabell2[[#This Row],[ReisetidOslo]]))</f>
        <v>219.71666666666999</v>
      </c>
      <c r="N341" s="24">
        <f>IF(Tabell2[[#This Row],[Beftettland]]&lt;=D$434,D$434,IF(Tabell2[[#This Row],[Beftettland]]&gt;=D$435,D$435,Tabell2[[#This Row],[Beftettland]]))</f>
        <v>14.098855894073788</v>
      </c>
      <c r="O341" s="24">
        <f>IF(Tabell2[[#This Row],[Beftettotal]]&lt;=E$434,E$434,IF(Tabell2[[#This Row],[Beftettotal]]&gt;=E$435,E$435,Tabell2[[#This Row],[Beftettotal]]))</f>
        <v>13.766160411698255</v>
      </c>
      <c r="P341" s="24">
        <f>IF(Tabell2[[#This Row],[Befvekst10]]&lt;=F$434,F$434,IF(Tabell2[[#This Row],[Befvekst10]]&gt;=F$435,F$435,Tabell2[[#This Row],[Befvekst10]]))</f>
        <v>9.3742208925454928E-2</v>
      </c>
      <c r="Q341" s="24">
        <f>IF(Tabell2[[#This Row],[Kvinneandel]]&lt;=G$434,G$434,IF(Tabell2[[#This Row],[Kvinneandel]]&gt;=G$435,G$435,Tabell2[[#This Row],[Kvinneandel]]))</f>
        <v>0.12217916571689082</v>
      </c>
      <c r="R341" s="24">
        <f>IF(Tabell2[[#This Row],[Eldreandel]]&lt;=H$434,H$434,IF(Tabell2[[#This Row],[Eldreandel]]&gt;=H$435,H$435,Tabell2[[#This Row],[Eldreandel]]))</f>
        <v>0.14656940961932985</v>
      </c>
      <c r="S341" s="24">
        <f>IF(Tabell2[[#This Row],[Sysselsettingsvekst10]]&lt;=I$434,I$434,IF(Tabell2[[#This Row],[Sysselsettingsvekst10]]&gt;=I$435,I$435,Tabell2[[#This Row],[Sysselsettingsvekst10]]))</f>
        <v>0.10613751730503007</v>
      </c>
      <c r="T341" s="24">
        <f>IF(Tabell2[[#This Row],[Yrkesaktivandel]]&lt;=J$434,J$434,IF(Tabell2[[#This Row],[Yrkesaktivandel]]&gt;=J$435,J$435,Tabell2[[#This Row],[Yrkesaktivandel]]))</f>
        <v>0.8609775641025641</v>
      </c>
      <c r="U341" s="24">
        <f>IF(Tabell2[[#This Row],[Inntekt]]&lt;=K$434,K$434,IF(Tabell2[[#This Row],[Inntekt]]&gt;=K$435,K$435,Tabell2[[#This Row],[Inntekt]]))</f>
        <v>392900</v>
      </c>
      <c r="V341" s="7">
        <f>IF(Tabell2[[#This Row],[NIBR11-T]]&lt;=L$437,100,IF(Tabell2[[#This Row],[NIBR11-T]]&gt;=L$436,0,100*(L$436-Tabell2[[#This Row],[NIBR11-T]])/L$439))</f>
        <v>20</v>
      </c>
      <c r="W341" s="7">
        <f>(M$436-Tabell2[[#This Row],[ReisetidOslo-T]])*100/M$439</f>
        <v>26.650091407684297</v>
      </c>
      <c r="X341" s="7">
        <f>100-(N$436-Tabell2[[#This Row],[Beftettland-T]])*100/N$439</f>
        <v>9.3915106435235032</v>
      </c>
      <c r="Y341" s="7">
        <f>100-(O$436-Tabell2[[#This Row],[Beftettotal-T]])*100/O$439</f>
        <v>9.5282536137103051</v>
      </c>
      <c r="Z341" s="7">
        <f>100-(P$436-Tabell2[[#This Row],[Befvekst10-T]])*100/P$439</f>
        <v>66.706674115496526</v>
      </c>
      <c r="AA341" s="7">
        <f>100-(Q$436-Tabell2[[#This Row],[Kvinneandel-T]])*100/Q$439</f>
        <v>85.792589105678672</v>
      </c>
      <c r="AB341" s="7">
        <f>(R$436-Tabell2[[#This Row],[Eldreandel-T]])*100/R$439</f>
        <v>79.60535185185968</v>
      </c>
      <c r="AC341" s="7">
        <f>100-(S$436-Tabell2[[#This Row],[Sysselsettingsvekst10-T]])*100/S$439</f>
        <v>64.84852450008114</v>
      </c>
      <c r="AD341" s="7">
        <f>100-(T$436-Tabell2[[#This Row],[Yrkesaktivandel-T]])*100/T$439</f>
        <v>43.794019486746848</v>
      </c>
      <c r="AE341" s="7">
        <f>100-(U$436-Tabell2[[#This Row],[Inntekt-T]])*100/U$439</f>
        <v>54.722943234397924</v>
      </c>
      <c r="AF341" s="7">
        <v>4</v>
      </c>
      <c r="AG341" s="7">
        <v>2.6650091407684298</v>
      </c>
      <c r="AH341" s="7">
        <v>0.95282536137103058</v>
      </c>
      <c r="AI341" s="7">
        <v>13.341334823099306</v>
      </c>
      <c r="AJ341" s="7">
        <v>4.2896294552839338</v>
      </c>
      <c r="AK341" s="7">
        <v>3.980267592592984</v>
      </c>
      <c r="AL341" s="7">
        <v>6.4848524500081144</v>
      </c>
      <c r="AM341" s="7">
        <v>4.3794019486746851</v>
      </c>
      <c r="AN341" s="7">
        <v>5.4722943234397929</v>
      </c>
      <c r="AO34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45.565615095238272</v>
      </c>
    </row>
    <row r="342" spans="1:41" x14ac:dyDescent="0.3">
      <c r="A342" s="2" t="s">
        <v>339</v>
      </c>
      <c r="B342">
        <f>'Rådata-K'!N341</f>
        <v>9</v>
      </c>
      <c r="C342" s="7">
        <f>'Rådata-K'!M341</f>
        <v>233.0833333333</v>
      </c>
      <c r="D342" s="24">
        <f>'Rådata-K'!O341</f>
        <v>5.0557752813421573</v>
      </c>
      <c r="E342" s="24">
        <f>'Rådata-K'!P341</f>
        <v>4.8016936133540664</v>
      </c>
      <c r="F342" s="24">
        <f>'Rådata-K'!Q341</f>
        <v>-5.4326736515327712E-3</v>
      </c>
      <c r="G342" s="24">
        <f>'Rådata-K'!R341</f>
        <v>0.10105345298478345</v>
      </c>
      <c r="H342" s="24">
        <f>'Rådata-K'!S341</f>
        <v>0.18084276238782676</v>
      </c>
      <c r="I342" s="24">
        <f>'Rådata-K'!T341</f>
        <v>6.3458487572712885E-2</v>
      </c>
      <c r="J342" s="24">
        <f>'Rådata-K'!U341</f>
        <v>0.87309464728819564</v>
      </c>
      <c r="K342" s="24">
        <f>'Rådata-K'!L341</f>
        <v>365700</v>
      </c>
      <c r="L342" s="24">
        <f>Tabell2[[#This Row],[NIBR11]]</f>
        <v>9</v>
      </c>
      <c r="M342" s="24">
        <f>IF(Tabell2[[#This Row],[ReisetidOslo]]&lt;=C$434,C$434,IF(Tabell2[[#This Row],[ReisetidOslo]]&gt;=C$435,C$435,Tabell2[[#This Row],[ReisetidOslo]]))</f>
        <v>233.0833333333</v>
      </c>
      <c r="N342" s="24">
        <f>IF(Tabell2[[#This Row],[Beftettland]]&lt;=D$434,D$434,IF(Tabell2[[#This Row],[Beftettland]]&gt;=D$435,D$435,Tabell2[[#This Row],[Beftettland]]))</f>
        <v>5.0557752813421573</v>
      </c>
      <c r="O342" s="24">
        <f>IF(Tabell2[[#This Row],[Beftettotal]]&lt;=E$434,E$434,IF(Tabell2[[#This Row],[Beftettotal]]&gt;=E$435,E$435,Tabell2[[#This Row],[Beftettotal]]))</f>
        <v>4.8016936133540664</v>
      </c>
      <c r="P342" s="24">
        <f>IF(Tabell2[[#This Row],[Befvekst10]]&lt;=F$434,F$434,IF(Tabell2[[#This Row],[Befvekst10]]&gt;=F$435,F$435,Tabell2[[#This Row],[Befvekst10]]))</f>
        <v>-5.4326736515327712E-3</v>
      </c>
      <c r="Q342" s="24">
        <f>IF(Tabell2[[#This Row],[Kvinneandel]]&lt;=G$434,G$434,IF(Tabell2[[#This Row],[Kvinneandel]]&gt;=G$435,G$435,Tabell2[[#This Row],[Kvinneandel]]))</f>
        <v>0.10105345298478345</v>
      </c>
      <c r="R342" s="24">
        <f>IF(Tabell2[[#This Row],[Eldreandel]]&lt;=H$434,H$434,IF(Tabell2[[#This Row],[Eldreandel]]&gt;=H$435,H$435,Tabell2[[#This Row],[Eldreandel]]))</f>
        <v>0.18084276238782676</v>
      </c>
      <c r="S342" s="24">
        <f>IF(Tabell2[[#This Row],[Sysselsettingsvekst10]]&lt;=I$434,I$434,IF(Tabell2[[#This Row],[Sysselsettingsvekst10]]&gt;=I$435,I$435,Tabell2[[#This Row],[Sysselsettingsvekst10]]))</f>
        <v>6.3458487572712885E-2</v>
      </c>
      <c r="T342" s="24">
        <f>IF(Tabell2[[#This Row],[Yrkesaktivandel]]&lt;=J$434,J$434,IF(Tabell2[[#This Row],[Yrkesaktivandel]]&gt;=J$435,J$435,Tabell2[[#This Row],[Yrkesaktivandel]]))</f>
        <v>0.87309464728819564</v>
      </c>
      <c r="U342" s="24">
        <f>IF(Tabell2[[#This Row],[Inntekt]]&lt;=K$434,K$434,IF(Tabell2[[#This Row],[Inntekt]]&gt;=K$435,K$435,Tabell2[[#This Row],[Inntekt]]))</f>
        <v>365700</v>
      </c>
      <c r="V342" s="7">
        <f>IF(Tabell2[[#This Row],[NIBR11-T]]&lt;=L$437,100,IF(Tabell2[[#This Row],[NIBR11-T]]&gt;=L$436,0,100*(L$436-Tabell2[[#This Row],[NIBR11-T]])/L$439))</f>
        <v>20</v>
      </c>
      <c r="W342" s="7">
        <f>(M$436-Tabell2[[#This Row],[ReisetidOslo-T]])*100/M$439</f>
        <v>20.785374771503541</v>
      </c>
      <c r="X342" s="7">
        <f>100-(N$436-Tabell2[[#This Row],[Beftettland-T]])*100/N$439</f>
        <v>2.7023100577531949</v>
      </c>
      <c r="Y342" s="7">
        <f>100-(O$436-Tabell2[[#This Row],[Beftettotal-T]])*100/O$439</f>
        <v>2.6665050074416143</v>
      </c>
      <c r="Z342" s="7">
        <f>100-(P$436-Tabell2[[#This Row],[Befvekst10-T]])*100/P$439</f>
        <v>26.564544338464316</v>
      </c>
      <c r="AA342" s="7">
        <f>100-(Q$436-Tabell2[[#This Row],[Kvinneandel-T]])*100/Q$439</f>
        <v>30.294216366883091</v>
      </c>
      <c r="AB342" s="7">
        <f>(R$436-Tabell2[[#This Row],[Eldreandel-T]])*100/R$439</f>
        <v>42.615670204219256</v>
      </c>
      <c r="AC342" s="7">
        <f>100-(S$436-Tabell2[[#This Row],[Sysselsettingsvekst10-T]])*100/S$439</f>
        <v>50.920167628330951</v>
      </c>
      <c r="AD342" s="7">
        <f>100-(T$436-Tabell2[[#This Row],[Yrkesaktivandel-T]])*100/T$439</f>
        <v>52.340123403484434</v>
      </c>
      <c r="AE342" s="7">
        <f>100-(U$436-Tabell2[[#This Row],[Inntekt-T]])*100/U$439</f>
        <v>24.026633562803298</v>
      </c>
      <c r="AF342" s="7">
        <v>4</v>
      </c>
      <c r="AG342" s="7">
        <v>2.0785374771503542</v>
      </c>
      <c r="AH342" s="7">
        <v>0.26665050074416147</v>
      </c>
      <c r="AI342" s="7">
        <v>5.3129088676928635</v>
      </c>
      <c r="AJ342" s="7">
        <v>1.5147108183441547</v>
      </c>
      <c r="AK342" s="7">
        <v>2.1307835102109629</v>
      </c>
      <c r="AL342" s="7">
        <v>5.0920167628330955</v>
      </c>
      <c r="AM342" s="7">
        <v>5.2340123403484435</v>
      </c>
      <c r="AN342" s="7">
        <v>2.4026633562803301</v>
      </c>
      <c r="AO34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28.032283633604365</v>
      </c>
    </row>
    <row r="343" spans="1:41" x14ac:dyDescent="0.3">
      <c r="A343" s="2" t="s">
        <v>340</v>
      </c>
      <c r="B343">
        <f>'Rådata-K'!N342</f>
        <v>11</v>
      </c>
      <c r="C343" s="7">
        <f>'Rådata-K'!M342</f>
        <v>295.2</v>
      </c>
      <c r="D343" s="24">
        <f>'Rådata-K'!O342</f>
        <v>5.1878519339056588</v>
      </c>
      <c r="E343" s="24">
        <f>'Rådata-K'!P342</f>
        <v>5.1081621523359395</v>
      </c>
      <c r="F343" s="24">
        <f>'Rådata-K'!Q342</f>
        <v>-5.5462184873949605E-2</v>
      </c>
      <c r="G343" s="24">
        <f>'Rådata-K'!R342</f>
        <v>6.7615658362989328E-2</v>
      </c>
      <c r="H343" s="24">
        <f>'Rådata-K'!S342</f>
        <v>0.28113879003558717</v>
      </c>
      <c r="I343" s="24">
        <f>'Rådata-K'!T342</f>
        <v>-9.1269841269841279E-2</v>
      </c>
      <c r="J343" s="24">
        <f>'Rådata-K'!U342</f>
        <v>0.93548387096774188</v>
      </c>
      <c r="K343" s="24">
        <f>'Rådata-K'!L342</f>
        <v>349600</v>
      </c>
      <c r="L343" s="24">
        <f>Tabell2[[#This Row],[NIBR11]]</f>
        <v>11</v>
      </c>
      <c r="M343" s="24">
        <f>IF(Tabell2[[#This Row],[ReisetidOslo]]&lt;=C$434,C$434,IF(Tabell2[[#This Row],[ReisetidOslo]]&gt;=C$435,C$435,Tabell2[[#This Row],[ReisetidOslo]]))</f>
        <v>280.45666666669001</v>
      </c>
      <c r="N343" s="24">
        <f>IF(Tabell2[[#This Row],[Beftettland]]&lt;=D$434,D$434,IF(Tabell2[[#This Row],[Beftettland]]&gt;=D$435,D$435,Tabell2[[#This Row],[Beftettland]]))</f>
        <v>5.1878519339056588</v>
      </c>
      <c r="O343" s="24">
        <f>IF(Tabell2[[#This Row],[Beftettotal]]&lt;=E$434,E$434,IF(Tabell2[[#This Row],[Beftettotal]]&gt;=E$435,E$435,Tabell2[[#This Row],[Beftettotal]]))</f>
        <v>5.1081621523359395</v>
      </c>
      <c r="P343" s="24">
        <f>IF(Tabell2[[#This Row],[Befvekst10]]&lt;=F$434,F$434,IF(Tabell2[[#This Row],[Befvekst10]]&gt;=F$435,F$435,Tabell2[[#This Row],[Befvekst10]]))</f>
        <v>-5.5462184873949605E-2</v>
      </c>
      <c r="Q343" s="24">
        <f>IF(Tabell2[[#This Row],[Kvinneandel]]&lt;=G$434,G$434,IF(Tabell2[[#This Row],[Kvinneandel]]&gt;=G$435,G$435,Tabell2[[#This Row],[Kvinneandel]]))</f>
        <v>8.9521819157910881E-2</v>
      </c>
      <c r="R343" s="24">
        <f>IF(Tabell2[[#This Row],[Eldreandel]]&lt;=H$434,H$434,IF(Tabell2[[#This Row],[Eldreandel]]&gt;=H$435,H$435,Tabell2[[#This Row],[Eldreandel]]))</f>
        <v>0.22032896051974013</v>
      </c>
      <c r="S343" s="24">
        <f>IF(Tabell2[[#This Row],[Sysselsettingsvekst10]]&lt;=I$434,I$434,IF(Tabell2[[#This Row],[Sysselsettingsvekst10]]&gt;=I$435,I$435,Tabell2[[#This Row],[Sysselsettingsvekst10]]))</f>
        <v>-9.1269841269841279E-2</v>
      </c>
      <c r="T343" s="24">
        <f>IF(Tabell2[[#This Row],[Yrkesaktivandel]]&lt;=J$434,J$434,IF(Tabell2[[#This Row],[Yrkesaktivandel]]&gt;=J$435,J$435,Tabell2[[#This Row],[Yrkesaktivandel]]))</f>
        <v>0.93548387096774188</v>
      </c>
      <c r="U343" s="24">
        <f>IF(Tabell2[[#This Row],[Inntekt]]&lt;=K$434,K$434,IF(Tabell2[[#This Row],[Inntekt]]&gt;=K$435,K$435,Tabell2[[#This Row],[Inntekt]]))</f>
        <v>349600</v>
      </c>
      <c r="V343" s="7">
        <f>IF(Tabell2[[#This Row],[NIBR11-T]]&lt;=L$437,100,IF(Tabell2[[#This Row],[NIBR11-T]]&gt;=L$436,0,100*(L$436-Tabell2[[#This Row],[NIBR11-T]])/L$439))</f>
        <v>0</v>
      </c>
      <c r="W343" s="7">
        <f>(M$436-Tabell2[[#This Row],[ReisetidOslo-T]])*100/M$439</f>
        <v>0</v>
      </c>
      <c r="X343" s="7">
        <f>100-(N$436-Tabell2[[#This Row],[Beftettland-T]])*100/N$439</f>
        <v>2.8000076521382766</v>
      </c>
      <c r="Y343" s="7">
        <f>100-(O$436-Tabell2[[#This Row],[Beftettotal-T]])*100/O$439</f>
        <v>2.901087846279566</v>
      </c>
      <c r="Z343" s="7">
        <f>100-(P$436-Tabell2[[#This Row],[Befvekst10-T]])*100/P$439</f>
        <v>6.3145467585554513</v>
      </c>
      <c r="AA343" s="7">
        <f>100-(Q$436-Tabell2[[#This Row],[Kvinneandel-T]])*100/Q$439</f>
        <v>0</v>
      </c>
      <c r="AB343" s="7">
        <f>(R$436-Tabell2[[#This Row],[Eldreandel-T]])*100/R$439</f>
        <v>0</v>
      </c>
      <c r="AC343" s="7">
        <f>100-(S$436-Tabell2[[#This Row],[Sysselsettingsvekst10-T]])*100/S$439</f>
        <v>0.42437623369362143</v>
      </c>
      <c r="AD343" s="7">
        <f>100-(T$436-Tabell2[[#This Row],[Yrkesaktivandel-T]])*100/T$439</f>
        <v>96.342857451084214</v>
      </c>
      <c r="AE343" s="7">
        <f>100-(U$436-Tabell2[[#This Row],[Inntekt-T]])*100/U$439</f>
        <v>5.8571267351314731</v>
      </c>
      <c r="AF343" s="7">
        <v>0</v>
      </c>
      <c r="AG343" s="7">
        <v>0</v>
      </c>
      <c r="AH343" s="7">
        <v>0.29010878462795658</v>
      </c>
      <c r="AI343" s="7">
        <v>1.2629093517110903</v>
      </c>
      <c r="AJ343" s="7">
        <v>0</v>
      </c>
      <c r="AK343" s="7">
        <v>0</v>
      </c>
      <c r="AL343" s="7">
        <v>4.2437623369362146E-2</v>
      </c>
      <c r="AM343" s="7">
        <v>9.6342857451084214</v>
      </c>
      <c r="AN343" s="7">
        <v>0.58571267351314737</v>
      </c>
      <c r="AO34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11.815454178329977</v>
      </c>
    </row>
    <row r="344" spans="1:41" x14ac:dyDescent="0.3">
      <c r="A344" s="2" t="s">
        <v>341</v>
      </c>
      <c r="B344">
        <f>'Rådata-K'!N343</f>
        <v>6</v>
      </c>
      <c r="C344" s="7">
        <f>'Rådata-K'!M343</f>
        <v>216.03333333329999</v>
      </c>
      <c r="D344" s="24">
        <f>'Rådata-K'!O343</f>
        <v>19.277760373650786</v>
      </c>
      <c r="E344" s="24">
        <f>'Rådata-K'!P343</f>
        <v>18.511225968769654</v>
      </c>
      <c r="F344" s="24">
        <f>'Rådata-K'!Q343</f>
        <v>-9.0762699458352136E-3</v>
      </c>
      <c r="G344" s="24">
        <f>'Rådata-K'!R343</f>
        <v>0.1047422071206973</v>
      </c>
      <c r="H344" s="24">
        <f>'Rådata-K'!S343</f>
        <v>0.16826710001477324</v>
      </c>
      <c r="I344" s="24">
        <f>'Rådata-K'!T343</f>
        <v>1.8674136321195078E-2</v>
      </c>
      <c r="J344" s="24">
        <f>'Rådata-K'!U343</f>
        <v>0.87587695628710205</v>
      </c>
      <c r="K344" s="24">
        <f>'Rådata-K'!L343</f>
        <v>375000</v>
      </c>
      <c r="L344" s="24">
        <f>Tabell2[[#This Row],[NIBR11]]</f>
        <v>6</v>
      </c>
      <c r="M344" s="24">
        <f>IF(Tabell2[[#This Row],[ReisetidOslo]]&lt;=C$434,C$434,IF(Tabell2[[#This Row],[ReisetidOslo]]&gt;=C$435,C$435,Tabell2[[#This Row],[ReisetidOslo]]))</f>
        <v>216.03333333329999</v>
      </c>
      <c r="N344" s="24">
        <f>IF(Tabell2[[#This Row],[Beftettland]]&lt;=D$434,D$434,IF(Tabell2[[#This Row],[Beftettland]]&gt;=D$435,D$435,Tabell2[[#This Row],[Beftettland]]))</f>
        <v>19.277760373650786</v>
      </c>
      <c r="O344" s="24">
        <f>IF(Tabell2[[#This Row],[Beftettotal]]&lt;=E$434,E$434,IF(Tabell2[[#This Row],[Beftettotal]]&gt;=E$435,E$435,Tabell2[[#This Row],[Beftettotal]]))</f>
        <v>18.511225968769654</v>
      </c>
      <c r="P344" s="24">
        <f>IF(Tabell2[[#This Row],[Befvekst10]]&lt;=F$434,F$434,IF(Tabell2[[#This Row],[Befvekst10]]&gt;=F$435,F$435,Tabell2[[#This Row],[Befvekst10]]))</f>
        <v>-9.0762699458352136E-3</v>
      </c>
      <c r="Q344" s="24">
        <f>IF(Tabell2[[#This Row],[Kvinneandel]]&lt;=G$434,G$434,IF(Tabell2[[#This Row],[Kvinneandel]]&gt;=G$435,G$435,Tabell2[[#This Row],[Kvinneandel]]))</f>
        <v>0.1047422071206973</v>
      </c>
      <c r="R344" s="24">
        <f>IF(Tabell2[[#This Row],[Eldreandel]]&lt;=H$434,H$434,IF(Tabell2[[#This Row],[Eldreandel]]&gt;=H$435,H$435,Tabell2[[#This Row],[Eldreandel]]))</f>
        <v>0.16826710001477324</v>
      </c>
      <c r="S344" s="24">
        <f>IF(Tabell2[[#This Row],[Sysselsettingsvekst10]]&lt;=I$434,I$434,IF(Tabell2[[#This Row],[Sysselsettingsvekst10]]&gt;=I$435,I$435,Tabell2[[#This Row],[Sysselsettingsvekst10]]))</f>
        <v>1.8674136321195078E-2</v>
      </c>
      <c r="T344" s="24">
        <f>IF(Tabell2[[#This Row],[Yrkesaktivandel]]&lt;=J$434,J$434,IF(Tabell2[[#This Row],[Yrkesaktivandel]]&gt;=J$435,J$435,Tabell2[[#This Row],[Yrkesaktivandel]]))</f>
        <v>0.87587695628710205</v>
      </c>
      <c r="U344" s="24">
        <f>IF(Tabell2[[#This Row],[Inntekt]]&lt;=K$434,K$434,IF(Tabell2[[#This Row],[Inntekt]]&gt;=K$435,K$435,Tabell2[[#This Row],[Inntekt]]))</f>
        <v>375000</v>
      </c>
      <c r="V344" s="7">
        <f>IF(Tabell2[[#This Row],[NIBR11-T]]&lt;=L$437,100,IF(Tabell2[[#This Row],[NIBR11-T]]&gt;=L$436,0,100*(L$436-Tabell2[[#This Row],[NIBR11-T]])/L$439))</f>
        <v>50</v>
      </c>
      <c r="W344" s="7">
        <f>(M$436-Tabell2[[#This Row],[ReisetidOslo-T]])*100/M$439</f>
        <v>28.266179159071335</v>
      </c>
      <c r="X344" s="7">
        <f>100-(N$436-Tabell2[[#This Row],[Beftettland-T]])*100/N$439</f>
        <v>13.222365676449101</v>
      </c>
      <c r="Y344" s="7">
        <f>100-(O$436-Tabell2[[#This Row],[Beftettotal-T]])*100/O$439</f>
        <v>13.160309786744733</v>
      </c>
      <c r="Z344" s="7">
        <f>100-(P$436-Tabell2[[#This Row],[Befvekst10-T]])*100/P$439</f>
        <v>25.089758470303977</v>
      </c>
      <c r="AA344" s="7">
        <f>100-(Q$436-Tabell2[[#This Row],[Kvinneandel-T]])*100/Q$439</f>
        <v>39.984769986197563</v>
      </c>
      <c r="AB344" s="7">
        <f>(R$436-Tabell2[[#This Row],[Eldreandel-T]])*100/R$439</f>
        <v>56.188014609200572</v>
      </c>
      <c r="AC344" s="7">
        <f>100-(S$436-Tabell2[[#This Row],[Sysselsettingsvekst10-T]])*100/S$439</f>
        <v>36.304736340102238</v>
      </c>
      <c r="AD344" s="7">
        <f>100-(T$436-Tabell2[[#This Row],[Yrkesaktivandel-T]])*100/T$439</f>
        <v>54.302468752513995</v>
      </c>
      <c r="AE344" s="7">
        <f>100-(U$436-Tabell2[[#This Row],[Inntekt-T]])*100/U$439</f>
        <v>34.522062972576464</v>
      </c>
      <c r="AF344" s="7">
        <v>10</v>
      </c>
      <c r="AG344" s="7">
        <v>2.8266179159071338</v>
      </c>
      <c r="AH344" s="7">
        <v>1.3160309786744735</v>
      </c>
      <c r="AI344" s="7">
        <v>5.0179516940607956</v>
      </c>
      <c r="AJ344" s="7">
        <v>1.9992384993098782</v>
      </c>
      <c r="AK344" s="7">
        <v>2.8094007304600286</v>
      </c>
      <c r="AL344" s="7">
        <v>3.6304736340102242</v>
      </c>
      <c r="AM344" s="7">
        <v>5.4302468752513997</v>
      </c>
      <c r="AN344" s="7">
        <v>3.4522062972576464</v>
      </c>
      <c r="AO34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36.48216662493158</v>
      </c>
    </row>
    <row r="345" spans="1:41" x14ac:dyDescent="0.3">
      <c r="A345" s="2" t="s">
        <v>342</v>
      </c>
      <c r="B345">
        <f>'Rådata-K'!N344</f>
        <v>4</v>
      </c>
      <c r="C345" s="7">
        <f>'Rådata-K'!M344</f>
        <v>187.86666666667</v>
      </c>
      <c r="D345" s="24">
        <f>'Rådata-K'!O344</f>
        <v>38.484053905725958</v>
      </c>
      <c r="E345" s="24">
        <f>'Rådata-K'!P344</f>
        <v>36.185370468586498</v>
      </c>
      <c r="F345" s="24">
        <f>'Rådata-K'!Q344</f>
        <v>0.12215504978662883</v>
      </c>
      <c r="G345" s="24">
        <f>'Rådata-K'!R344</f>
        <v>0.13403184915227381</v>
      </c>
      <c r="H345" s="24">
        <f>'Rådata-K'!S344</f>
        <v>0.12763428933607987</v>
      </c>
      <c r="I345" s="24">
        <f>'Rådata-K'!T344</f>
        <v>8.4927466921728145E-2</v>
      </c>
      <c r="J345" s="24">
        <f>'Rådata-K'!U344</f>
        <v>0.85938366215555195</v>
      </c>
      <c r="K345" s="24">
        <f>'Rådata-K'!L344</f>
        <v>417900</v>
      </c>
      <c r="L345" s="24">
        <f>Tabell2[[#This Row],[NIBR11]]</f>
        <v>4</v>
      </c>
      <c r="M345" s="24">
        <f>IF(Tabell2[[#This Row],[ReisetidOslo]]&lt;=C$434,C$434,IF(Tabell2[[#This Row],[ReisetidOslo]]&gt;=C$435,C$435,Tabell2[[#This Row],[ReisetidOslo]]))</f>
        <v>187.86666666667</v>
      </c>
      <c r="N345" s="24">
        <f>IF(Tabell2[[#This Row],[Beftettland]]&lt;=D$434,D$434,IF(Tabell2[[#This Row],[Beftettland]]&gt;=D$435,D$435,Tabell2[[#This Row],[Beftettland]]))</f>
        <v>38.484053905725958</v>
      </c>
      <c r="O345" s="24">
        <f>IF(Tabell2[[#This Row],[Beftettotal]]&lt;=E$434,E$434,IF(Tabell2[[#This Row],[Beftettotal]]&gt;=E$435,E$435,Tabell2[[#This Row],[Beftettotal]]))</f>
        <v>36.185370468586498</v>
      </c>
      <c r="P345" s="24">
        <f>IF(Tabell2[[#This Row],[Befvekst10]]&lt;=F$434,F$434,IF(Tabell2[[#This Row],[Befvekst10]]&gt;=F$435,F$435,Tabell2[[#This Row],[Befvekst10]]))</f>
        <v>0.12215504978662883</v>
      </c>
      <c r="Q345" s="24">
        <f>IF(Tabell2[[#This Row],[Kvinneandel]]&lt;=G$434,G$434,IF(Tabell2[[#This Row],[Kvinneandel]]&gt;=G$435,G$435,Tabell2[[#This Row],[Kvinneandel]]))</f>
        <v>0.12758728250318055</v>
      </c>
      <c r="R345" s="24">
        <f>IF(Tabell2[[#This Row],[Eldreandel]]&lt;=H$434,H$434,IF(Tabell2[[#This Row],[Eldreandel]]&gt;=H$435,H$435,Tabell2[[#This Row],[Eldreandel]]))</f>
        <v>0.12767243783057225</v>
      </c>
      <c r="S345" s="24">
        <f>IF(Tabell2[[#This Row],[Sysselsettingsvekst10]]&lt;=I$434,I$434,IF(Tabell2[[#This Row],[Sysselsettingsvekst10]]&gt;=I$435,I$435,Tabell2[[#This Row],[Sysselsettingsvekst10]]))</f>
        <v>8.4927466921728145E-2</v>
      </c>
      <c r="T345" s="24">
        <f>IF(Tabell2[[#This Row],[Yrkesaktivandel]]&lt;=J$434,J$434,IF(Tabell2[[#This Row],[Yrkesaktivandel]]&gt;=J$435,J$435,Tabell2[[#This Row],[Yrkesaktivandel]]))</f>
        <v>0.85938366215555195</v>
      </c>
      <c r="U345" s="24">
        <f>IF(Tabell2[[#This Row],[Inntekt]]&lt;=K$434,K$434,IF(Tabell2[[#This Row],[Inntekt]]&gt;=K$435,K$435,Tabell2[[#This Row],[Inntekt]]))</f>
        <v>417900</v>
      </c>
      <c r="V345" s="7">
        <f>IF(Tabell2[[#This Row],[NIBR11-T]]&lt;=L$437,100,IF(Tabell2[[#This Row],[NIBR11-T]]&gt;=L$436,0,100*(L$436-Tabell2[[#This Row],[NIBR11-T]])/L$439))</f>
        <v>70</v>
      </c>
      <c r="W345" s="7">
        <f>(M$436-Tabell2[[#This Row],[ReisetidOslo-T]])*100/M$439</f>
        <v>40.624497257774266</v>
      </c>
      <c r="X345" s="7">
        <f>100-(N$436-Tabell2[[#This Row],[Beftettland-T]])*100/N$439</f>
        <v>27.429332908871643</v>
      </c>
      <c r="Y345" s="7">
        <f>100-(O$436-Tabell2[[#This Row],[Beftettotal-T]])*100/O$439</f>
        <v>26.688781598477036</v>
      </c>
      <c r="Z345" s="7">
        <f>100-(P$436-Tabell2[[#This Row],[Befvekst10-T]])*100/P$439</f>
        <v>78.20708546509421</v>
      </c>
      <c r="AA345" s="7">
        <f>100-(Q$436-Tabell2[[#This Row],[Kvinneandel-T]])*100/Q$439</f>
        <v>100</v>
      </c>
      <c r="AB345" s="7">
        <f>(R$436-Tabell2[[#This Row],[Eldreandel-T]])*100/R$439</f>
        <v>100</v>
      </c>
      <c r="AC345" s="7">
        <f>100-(S$436-Tabell2[[#This Row],[Sysselsettingsvekst10-T]])*100/S$439</f>
        <v>57.926596966598957</v>
      </c>
      <c r="AD345" s="7">
        <f>100-(T$436-Tabell2[[#This Row],[Yrkesaktivandel-T]])*100/T$439</f>
        <v>42.669850289954603</v>
      </c>
      <c r="AE345" s="7">
        <f>100-(U$436-Tabell2[[#This Row],[Inntekt-T]])*100/U$439</f>
        <v>82.936463153142995</v>
      </c>
      <c r="AF345" s="7">
        <v>14</v>
      </c>
      <c r="AG345" s="7">
        <v>4.0624497257774266</v>
      </c>
      <c r="AH345" s="7">
        <v>2.6688781598477038</v>
      </c>
      <c r="AI345" s="7">
        <v>15.641417093018843</v>
      </c>
      <c r="AJ345" s="7">
        <v>5</v>
      </c>
      <c r="AK345" s="7">
        <v>5</v>
      </c>
      <c r="AL345" s="7">
        <v>5.7926596966598964</v>
      </c>
      <c r="AM345" s="7">
        <v>4.2669850289954603</v>
      </c>
      <c r="AN345" s="7">
        <v>8.2936463153142999</v>
      </c>
      <c r="AO34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64.72603601961363</v>
      </c>
    </row>
    <row r="346" spans="1:41" x14ac:dyDescent="0.3">
      <c r="A346" s="2" t="s">
        <v>343</v>
      </c>
      <c r="B346">
        <f>'Rådata-K'!N345</f>
        <v>5</v>
      </c>
      <c r="C346" s="7">
        <f>'Rådata-K'!M345</f>
        <v>251.65</v>
      </c>
      <c r="D346" s="24">
        <f>'Rådata-K'!O345</f>
        <v>9.8611140271683215</v>
      </c>
      <c r="E346" s="24">
        <f>'Rådata-K'!P345</f>
        <v>9.2866111061680066</v>
      </c>
      <c r="F346" s="24">
        <f>'Rådata-K'!Q345</f>
        <v>2.2978491696161285E-2</v>
      </c>
      <c r="G346" s="24">
        <f>'Rådata-K'!R345</f>
        <v>0.12040240591898653</v>
      </c>
      <c r="H346" s="24">
        <f>'Rådata-K'!S345</f>
        <v>0.16484803321445682</v>
      </c>
      <c r="I346" s="24">
        <f>'Rådata-K'!T345</f>
        <v>7.0841532584789979E-2</v>
      </c>
      <c r="J346" s="24">
        <f>'Rådata-K'!U345</f>
        <v>0.80825264681929232</v>
      </c>
      <c r="K346" s="24">
        <f>'Rådata-K'!L345</f>
        <v>387000</v>
      </c>
      <c r="L346" s="24">
        <f>Tabell2[[#This Row],[NIBR11]]</f>
        <v>5</v>
      </c>
      <c r="M346" s="24">
        <f>IF(Tabell2[[#This Row],[ReisetidOslo]]&lt;=C$434,C$434,IF(Tabell2[[#This Row],[ReisetidOslo]]&gt;=C$435,C$435,Tabell2[[#This Row],[ReisetidOslo]]))</f>
        <v>251.65</v>
      </c>
      <c r="N346" s="24">
        <f>IF(Tabell2[[#This Row],[Beftettland]]&lt;=D$434,D$434,IF(Tabell2[[#This Row],[Beftettland]]&gt;=D$435,D$435,Tabell2[[#This Row],[Beftettland]]))</f>
        <v>9.8611140271683215</v>
      </c>
      <c r="O346" s="24">
        <f>IF(Tabell2[[#This Row],[Beftettotal]]&lt;=E$434,E$434,IF(Tabell2[[#This Row],[Beftettotal]]&gt;=E$435,E$435,Tabell2[[#This Row],[Beftettotal]]))</f>
        <v>9.2866111061680066</v>
      </c>
      <c r="P346" s="24">
        <f>IF(Tabell2[[#This Row],[Befvekst10]]&lt;=F$434,F$434,IF(Tabell2[[#This Row],[Befvekst10]]&gt;=F$435,F$435,Tabell2[[#This Row],[Befvekst10]]))</f>
        <v>2.2978491696161285E-2</v>
      </c>
      <c r="Q346" s="24">
        <f>IF(Tabell2[[#This Row],[Kvinneandel]]&lt;=G$434,G$434,IF(Tabell2[[#This Row],[Kvinneandel]]&gt;=G$435,G$435,Tabell2[[#This Row],[Kvinneandel]]))</f>
        <v>0.12040240591898653</v>
      </c>
      <c r="R346" s="24">
        <f>IF(Tabell2[[#This Row],[Eldreandel]]&lt;=H$434,H$434,IF(Tabell2[[#This Row],[Eldreandel]]&gt;=H$435,H$435,Tabell2[[#This Row],[Eldreandel]]))</f>
        <v>0.16484803321445682</v>
      </c>
      <c r="S346" s="24">
        <f>IF(Tabell2[[#This Row],[Sysselsettingsvekst10]]&lt;=I$434,I$434,IF(Tabell2[[#This Row],[Sysselsettingsvekst10]]&gt;=I$435,I$435,Tabell2[[#This Row],[Sysselsettingsvekst10]]))</f>
        <v>7.0841532584789979E-2</v>
      </c>
      <c r="T346" s="24">
        <f>IF(Tabell2[[#This Row],[Yrkesaktivandel]]&lt;=J$434,J$434,IF(Tabell2[[#This Row],[Yrkesaktivandel]]&gt;=J$435,J$435,Tabell2[[#This Row],[Yrkesaktivandel]]))</f>
        <v>0.80825264681929232</v>
      </c>
      <c r="U346" s="24">
        <f>IF(Tabell2[[#This Row],[Inntekt]]&lt;=K$434,K$434,IF(Tabell2[[#This Row],[Inntekt]]&gt;=K$435,K$435,Tabell2[[#This Row],[Inntekt]]))</f>
        <v>387000</v>
      </c>
      <c r="V346" s="7">
        <f>IF(Tabell2[[#This Row],[NIBR11-T]]&lt;=L$437,100,IF(Tabell2[[#This Row],[NIBR11-T]]&gt;=L$436,0,100*(L$436-Tabell2[[#This Row],[NIBR11-T]])/L$439))</f>
        <v>60</v>
      </c>
      <c r="W346" s="7">
        <f>(M$436-Tabell2[[#This Row],[ReisetidOslo-T]])*100/M$439</f>
        <v>12.639122486297794</v>
      </c>
      <c r="X346" s="7">
        <f>100-(N$436-Tabell2[[#This Row],[Beftettland-T]])*100/N$439</f>
        <v>6.2568371188246346</v>
      </c>
      <c r="Y346" s="7">
        <f>100-(O$436-Tabell2[[#This Row],[Beftettotal-T]])*100/O$439</f>
        <v>6.0994338193627442</v>
      </c>
      <c r="Z346" s="7">
        <f>100-(P$436-Tabell2[[#This Row],[Befvekst10-T]])*100/P$439</f>
        <v>38.0642775054637</v>
      </c>
      <c r="AA346" s="7">
        <f>100-(Q$436-Tabell2[[#This Row],[Kvinneandel-T]])*100/Q$439</f>
        <v>81.124946466501186</v>
      </c>
      <c r="AB346" s="7">
        <f>(R$436-Tabell2[[#This Row],[Eldreandel-T]])*100/R$439</f>
        <v>59.87805898069751</v>
      </c>
      <c r="AC346" s="7">
        <f>100-(S$436-Tabell2[[#This Row],[Sysselsettingsvekst10-T]])*100/S$439</f>
        <v>53.329633972185945</v>
      </c>
      <c r="AD346" s="7">
        <f>100-(T$436-Tabell2[[#This Row],[Yrkesaktivandel-T]])*100/T$439</f>
        <v>6.6074610385430788</v>
      </c>
      <c r="AE346" s="7">
        <f>100-(U$436-Tabell2[[#This Row],[Inntekt-T]])*100/U$439</f>
        <v>48.064552533574087</v>
      </c>
      <c r="AF346" s="7">
        <v>12</v>
      </c>
      <c r="AG346" s="7">
        <v>1.2639122486297794</v>
      </c>
      <c r="AH346" s="7">
        <v>0.60994338193627451</v>
      </c>
      <c r="AI346" s="7">
        <v>7.6128555010927403</v>
      </c>
      <c r="AJ346" s="7">
        <v>4.0562473233250591</v>
      </c>
      <c r="AK346" s="7">
        <v>2.9939029490348759</v>
      </c>
      <c r="AL346" s="7">
        <v>5.3329633972185952</v>
      </c>
      <c r="AM346" s="7">
        <v>0.66074610385430788</v>
      </c>
      <c r="AN346" s="7">
        <v>4.8064552533574094</v>
      </c>
      <c r="AO34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39.337026158449049</v>
      </c>
    </row>
    <row r="347" spans="1:41" x14ac:dyDescent="0.3">
      <c r="A347" s="2" t="s">
        <v>344</v>
      </c>
      <c r="B347">
        <f>'Rådata-K'!N346</f>
        <v>11</v>
      </c>
      <c r="C347" s="7">
        <f>'Rådata-K'!M346</f>
        <v>275.45</v>
      </c>
      <c r="D347" s="24">
        <f>'Rådata-K'!O346</f>
        <v>1.2288309749284929</v>
      </c>
      <c r="E347" s="24">
        <f>'Rådata-K'!P346</f>
        <v>1.15878979632193</v>
      </c>
      <c r="F347" s="24">
        <f>'Rådata-K'!Q346</f>
        <v>-0.15852958070074674</v>
      </c>
      <c r="G347" s="24">
        <f>'Rådata-K'!R346</f>
        <v>8.5324232081911269E-2</v>
      </c>
      <c r="H347" s="24">
        <f>'Rådata-K'!S346</f>
        <v>0.23344709897610921</v>
      </c>
      <c r="I347" s="24">
        <f>'Rådata-K'!T346</f>
        <v>-0.27047913446676974</v>
      </c>
      <c r="J347" s="24">
        <f>'Rådata-K'!U346</f>
        <v>0.84756898817345594</v>
      </c>
      <c r="K347" s="24">
        <f>'Rådata-K'!L346</f>
        <v>329300</v>
      </c>
      <c r="L347" s="24">
        <f>Tabell2[[#This Row],[NIBR11]]</f>
        <v>11</v>
      </c>
      <c r="M347" s="24">
        <f>IF(Tabell2[[#This Row],[ReisetidOslo]]&lt;=C$434,C$434,IF(Tabell2[[#This Row],[ReisetidOslo]]&gt;=C$435,C$435,Tabell2[[#This Row],[ReisetidOslo]]))</f>
        <v>275.45</v>
      </c>
      <c r="N347" s="24">
        <f>IF(Tabell2[[#This Row],[Beftettland]]&lt;=D$434,D$434,IF(Tabell2[[#This Row],[Beftettland]]&gt;=D$435,D$435,Tabell2[[#This Row],[Beftettland]]))</f>
        <v>1.4025423756281519</v>
      </c>
      <c r="O347" s="24">
        <f>IF(Tabell2[[#This Row],[Beftettotal]]&lt;=E$434,E$434,IF(Tabell2[[#This Row],[Beftettotal]]&gt;=E$435,E$435,Tabell2[[#This Row],[Beftettotal]]))</f>
        <v>1.3180632767674032</v>
      </c>
      <c r="P347" s="24">
        <f>IF(Tabell2[[#This Row],[Befvekst10]]&lt;=F$434,F$434,IF(Tabell2[[#This Row],[Befvekst10]]&gt;=F$435,F$435,Tabell2[[#This Row],[Befvekst10]]))</f>
        <v>-7.1062862685144085E-2</v>
      </c>
      <c r="Q347" s="24">
        <f>IF(Tabell2[[#This Row],[Kvinneandel]]&lt;=G$434,G$434,IF(Tabell2[[#This Row],[Kvinneandel]]&gt;=G$435,G$435,Tabell2[[#This Row],[Kvinneandel]]))</f>
        <v>8.9521819157910881E-2</v>
      </c>
      <c r="R347" s="24">
        <f>IF(Tabell2[[#This Row],[Eldreandel]]&lt;=H$434,H$434,IF(Tabell2[[#This Row],[Eldreandel]]&gt;=H$435,H$435,Tabell2[[#This Row],[Eldreandel]]))</f>
        <v>0.22032896051974013</v>
      </c>
      <c r="S347" s="24">
        <f>IF(Tabell2[[#This Row],[Sysselsettingsvekst10]]&lt;=I$434,I$434,IF(Tabell2[[#This Row],[Sysselsettingsvekst10]]&gt;=I$435,I$435,Tabell2[[#This Row],[Sysselsettingsvekst10]]))</f>
        <v>-9.2570207570207563E-2</v>
      </c>
      <c r="T347" s="24">
        <f>IF(Tabell2[[#This Row],[Yrkesaktivandel]]&lt;=J$434,J$434,IF(Tabell2[[#This Row],[Yrkesaktivandel]]&gt;=J$435,J$435,Tabell2[[#This Row],[Yrkesaktivandel]]))</f>
        <v>0.84756898817345594</v>
      </c>
      <c r="U347" s="24">
        <f>IF(Tabell2[[#This Row],[Inntekt]]&lt;=K$434,K$434,IF(Tabell2[[#This Row],[Inntekt]]&gt;=K$435,K$435,Tabell2[[#This Row],[Inntekt]]))</f>
        <v>344410</v>
      </c>
      <c r="V347" s="7">
        <f>IF(Tabell2[[#This Row],[NIBR11-T]]&lt;=L$437,100,IF(Tabell2[[#This Row],[NIBR11-T]]&gt;=L$436,0,100*(L$436-Tabell2[[#This Row],[NIBR11-T]])/L$439))</f>
        <v>0</v>
      </c>
      <c r="W347" s="7">
        <f>(M$436-Tabell2[[#This Row],[ReisetidOslo-T]])*100/M$439</f>
        <v>2.1967093235932036</v>
      </c>
      <c r="X347" s="7">
        <f>100-(N$436-Tabell2[[#This Row],[Beftettland-T]])*100/N$439</f>
        <v>0</v>
      </c>
      <c r="Y347" s="7">
        <f>100-(O$436-Tabell2[[#This Row],[Beftettotal-T]])*100/O$439</f>
        <v>0</v>
      </c>
      <c r="Z347" s="7">
        <f>100-(P$436-Tabell2[[#This Row],[Befvekst10-T]])*100/P$439</f>
        <v>0</v>
      </c>
      <c r="AA347" s="7">
        <f>100-(Q$436-Tabell2[[#This Row],[Kvinneandel-T]])*100/Q$439</f>
        <v>0</v>
      </c>
      <c r="AB347" s="7">
        <f>(R$436-Tabell2[[#This Row],[Eldreandel-T]])*100/R$439</f>
        <v>0</v>
      </c>
      <c r="AC347" s="7">
        <f>100-(S$436-Tabell2[[#This Row],[Sysselsettingsvekst10-T]])*100/S$439</f>
        <v>0</v>
      </c>
      <c r="AD347" s="7">
        <f>100-(T$436-Tabell2[[#This Row],[Yrkesaktivandel-T]])*100/T$439</f>
        <v>34.33703371631762</v>
      </c>
      <c r="AE347" s="7">
        <f>100-(U$436-Tabell2[[#This Row],[Inntekt-T]])*100/U$439</f>
        <v>0</v>
      </c>
      <c r="AF347" s="7">
        <v>0</v>
      </c>
      <c r="AG347" s="7">
        <v>0.21967093235932036</v>
      </c>
      <c r="AH347" s="7">
        <v>0</v>
      </c>
      <c r="AI347" s="7">
        <v>0</v>
      </c>
      <c r="AJ347" s="7">
        <v>0</v>
      </c>
      <c r="AK347" s="7">
        <v>0</v>
      </c>
      <c r="AL347" s="7">
        <v>0</v>
      </c>
      <c r="AM347" s="7">
        <v>3.4337033716317622</v>
      </c>
      <c r="AN347" s="7">
        <v>0</v>
      </c>
      <c r="AO34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3.6533743039910824</v>
      </c>
    </row>
    <row r="348" spans="1:41" x14ac:dyDescent="0.3">
      <c r="A348" s="2" t="s">
        <v>345</v>
      </c>
      <c r="B348">
        <f>'Rådata-K'!N347</f>
        <v>7</v>
      </c>
      <c r="C348" s="7">
        <f>'Rådata-K'!M347</f>
        <v>233.98333333330001</v>
      </c>
      <c r="D348" s="24">
        <f>'Rådata-K'!O347</f>
        <v>10.591916558018253</v>
      </c>
      <c r="E348" s="24">
        <f>'Rådata-K'!P347</f>
        <v>10.401515927481308</v>
      </c>
      <c r="F348" s="24">
        <f>'Rådata-K'!Q347</f>
        <v>-8.30078125E-3</v>
      </c>
      <c r="G348" s="24">
        <f>'Rådata-K'!R347</f>
        <v>9.7488921713441659E-2</v>
      </c>
      <c r="H348" s="24">
        <f>'Rådata-K'!S347</f>
        <v>0.18414574101427869</v>
      </c>
      <c r="I348" s="24">
        <f>'Rådata-K'!T347</f>
        <v>1.8369690011481143E-2</v>
      </c>
      <c r="J348" s="24">
        <f>'Rådata-K'!U347</f>
        <v>0.88670829616413915</v>
      </c>
      <c r="K348" s="24">
        <f>'Rådata-K'!L347</f>
        <v>359500</v>
      </c>
      <c r="L348" s="24">
        <f>Tabell2[[#This Row],[NIBR11]]</f>
        <v>7</v>
      </c>
      <c r="M348" s="24">
        <f>IF(Tabell2[[#This Row],[ReisetidOslo]]&lt;=C$434,C$434,IF(Tabell2[[#This Row],[ReisetidOslo]]&gt;=C$435,C$435,Tabell2[[#This Row],[ReisetidOslo]]))</f>
        <v>233.98333333330001</v>
      </c>
      <c r="N348" s="24">
        <f>IF(Tabell2[[#This Row],[Beftettland]]&lt;=D$434,D$434,IF(Tabell2[[#This Row],[Beftettland]]&gt;=D$435,D$435,Tabell2[[#This Row],[Beftettland]]))</f>
        <v>10.591916558018253</v>
      </c>
      <c r="O348" s="24">
        <f>IF(Tabell2[[#This Row],[Beftettotal]]&lt;=E$434,E$434,IF(Tabell2[[#This Row],[Beftettotal]]&gt;=E$435,E$435,Tabell2[[#This Row],[Beftettotal]]))</f>
        <v>10.401515927481308</v>
      </c>
      <c r="P348" s="24">
        <f>IF(Tabell2[[#This Row],[Befvekst10]]&lt;=F$434,F$434,IF(Tabell2[[#This Row],[Befvekst10]]&gt;=F$435,F$435,Tabell2[[#This Row],[Befvekst10]]))</f>
        <v>-8.30078125E-3</v>
      </c>
      <c r="Q348" s="24">
        <f>IF(Tabell2[[#This Row],[Kvinneandel]]&lt;=G$434,G$434,IF(Tabell2[[#This Row],[Kvinneandel]]&gt;=G$435,G$435,Tabell2[[#This Row],[Kvinneandel]]))</f>
        <v>9.7488921713441659E-2</v>
      </c>
      <c r="R348" s="24">
        <f>IF(Tabell2[[#This Row],[Eldreandel]]&lt;=H$434,H$434,IF(Tabell2[[#This Row],[Eldreandel]]&gt;=H$435,H$435,Tabell2[[#This Row],[Eldreandel]]))</f>
        <v>0.18414574101427869</v>
      </c>
      <c r="S348" s="24">
        <f>IF(Tabell2[[#This Row],[Sysselsettingsvekst10]]&lt;=I$434,I$434,IF(Tabell2[[#This Row],[Sysselsettingsvekst10]]&gt;=I$435,I$435,Tabell2[[#This Row],[Sysselsettingsvekst10]]))</f>
        <v>1.8369690011481143E-2</v>
      </c>
      <c r="T348" s="24">
        <f>IF(Tabell2[[#This Row],[Yrkesaktivandel]]&lt;=J$434,J$434,IF(Tabell2[[#This Row],[Yrkesaktivandel]]&gt;=J$435,J$435,Tabell2[[#This Row],[Yrkesaktivandel]]))</f>
        <v>0.88670829616413915</v>
      </c>
      <c r="U348" s="24">
        <f>IF(Tabell2[[#This Row],[Inntekt]]&lt;=K$434,K$434,IF(Tabell2[[#This Row],[Inntekt]]&gt;=K$435,K$435,Tabell2[[#This Row],[Inntekt]]))</f>
        <v>359500</v>
      </c>
      <c r="V348" s="7">
        <f>IF(Tabell2[[#This Row],[NIBR11-T]]&lt;=L$437,100,IF(Tabell2[[#This Row],[NIBR11-T]]&gt;=L$436,0,100*(L$436-Tabell2[[#This Row],[NIBR11-T]])/L$439))</f>
        <v>40</v>
      </c>
      <c r="W348" s="7">
        <f>(M$436-Tabell2[[#This Row],[ReisetidOslo-T]])*100/M$439</f>
        <v>20.390493601485296</v>
      </c>
      <c r="X348" s="7">
        <f>100-(N$436-Tabell2[[#This Row],[Beftettland-T]])*100/N$439</f>
        <v>6.7974144869575071</v>
      </c>
      <c r="Y348" s="7">
        <f>100-(O$436-Tabell2[[#This Row],[Beftettotal-T]])*100/O$439</f>
        <v>6.9528249664170119</v>
      </c>
      <c r="Z348" s="7">
        <f>100-(P$436-Tabell2[[#This Row],[Befvekst10-T]])*100/P$439</f>
        <v>25.403646090434734</v>
      </c>
      <c r="AA348" s="7">
        <f>100-(Q$436-Tabell2[[#This Row],[Kvinneandel-T]])*100/Q$439</f>
        <v>20.93000283029744</v>
      </c>
      <c r="AB348" s="7">
        <f>(R$436-Tabell2[[#This Row],[Eldreandel-T]])*100/R$439</f>
        <v>39.050914555518368</v>
      </c>
      <c r="AC348" s="7">
        <f>100-(S$436-Tabell2[[#This Row],[Sysselsettingsvekst10-T]])*100/S$439</f>
        <v>36.20537989089101</v>
      </c>
      <c r="AD348" s="7">
        <f>100-(T$436-Tabell2[[#This Row],[Yrkesaktivandel-T]])*100/T$439</f>
        <v>61.941745856464841</v>
      </c>
      <c r="AE348" s="7">
        <f>100-(U$436-Tabell2[[#This Row],[Inntekt-T]])*100/U$439</f>
        <v>17.029680622954515</v>
      </c>
      <c r="AF348" s="7">
        <v>8</v>
      </c>
      <c r="AG348" s="7">
        <v>2.0390493601485296</v>
      </c>
      <c r="AH348" s="7">
        <v>0.69528249664170128</v>
      </c>
      <c r="AI348" s="7">
        <v>5.0807292180869474</v>
      </c>
      <c r="AJ348" s="7">
        <v>1.046500141514872</v>
      </c>
      <c r="AK348" s="7">
        <v>1.9525457277759184</v>
      </c>
      <c r="AL348" s="7">
        <v>3.620537989089101</v>
      </c>
      <c r="AM348" s="7">
        <v>6.1941745856464845</v>
      </c>
      <c r="AN348" s="7">
        <v>1.7029680622954517</v>
      </c>
      <c r="AO34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30.331787581199006</v>
      </c>
    </row>
    <row r="349" spans="1:41" x14ac:dyDescent="0.3">
      <c r="A349" s="2" t="s">
        <v>346</v>
      </c>
      <c r="B349">
        <f>'Rådata-K'!N348</f>
        <v>7</v>
      </c>
      <c r="C349" s="7">
        <f>'Rådata-K'!M348</f>
        <v>201.36666666667</v>
      </c>
      <c r="D349" s="24">
        <f>'Rådata-K'!O348</f>
        <v>7.9578619118058613</v>
      </c>
      <c r="E349" s="24">
        <f>'Rådata-K'!P348</f>
        <v>7.6088722393708004</v>
      </c>
      <c r="F349" s="24">
        <f>'Rådata-K'!Q348</f>
        <v>5.2478519497686671E-2</v>
      </c>
      <c r="G349" s="24">
        <f>'Rådata-K'!R348</f>
        <v>0.1127857322280834</v>
      </c>
      <c r="H349" s="24">
        <f>'Rådata-K'!S348</f>
        <v>0.14845516201959308</v>
      </c>
      <c r="I349" s="24">
        <f>'Rådata-K'!T348</f>
        <v>5.5683785343335179E-2</v>
      </c>
      <c r="J349" s="24">
        <f>'Rådata-K'!U348</f>
        <v>0.84399033179520988</v>
      </c>
      <c r="K349" s="24">
        <f>'Rådata-K'!L348</f>
        <v>379600</v>
      </c>
      <c r="L349" s="24">
        <f>Tabell2[[#This Row],[NIBR11]]</f>
        <v>7</v>
      </c>
      <c r="M349" s="24">
        <f>IF(Tabell2[[#This Row],[ReisetidOslo]]&lt;=C$434,C$434,IF(Tabell2[[#This Row],[ReisetidOslo]]&gt;=C$435,C$435,Tabell2[[#This Row],[ReisetidOslo]]))</f>
        <v>201.36666666667</v>
      </c>
      <c r="N349" s="24">
        <f>IF(Tabell2[[#This Row],[Beftettland]]&lt;=D$434,D$434,IF(Tabell2[[#This Row],[Beftettland]]&gt;=D$435,D$435,Tabell2[[#This Row],[Beftettland]]))</f>
        <v>7.9578619118058613</v>
      </c>
      <c r="O349" s="24">
        <f>IF(Tabell2[[#This Row],[Beftettotal]]&lt;=E$434,E$434,IF(Tabell2[[#This Row],[Beftettotal]]&gt;=E$435,E$435,Tabell2[[#This Row],[Beftettotal]]))</f>
        <v>7.6088722393708004</v>
      </c>
      <c r="P349" s="24">
        <f>IF(Tabell2[[#This Row],[Befvekst10]]&lt;=F$434,F$434,IF(Tabell2[[#This Row],[Befvekst10]]&gt;=F$435,F$435,Tabell2[[#This Row],[Befvekst10]]))</f>
        <v>5.2478519497686671E-2</v>
      </c>
      <c r="Q349" s="24">
        <f>IF(Tabell2[[#This Row],[Kvinneandel]]&lt;=G$434,G$434,IF(Tabell2[[#This Row],[Kvinneandel]]&gt;=G$435,G$435,Tabell2[[#This Row],[Kvinneandel]]))</f>
        <v>0.1127857322280834</v>
      </c>
      <c r="R349" s="24">
        <f>IF(Tabell2[[#This Row],[Eldreandel]]&lt;=H$434,H$434,IF(Tabell2[[#This Row],[Eldreandel]]&gt;=H$435,H$435,Tabell2[[#This Row],[Eldreandel]]))</f>
        <v>0.14845516201959308</v>
      </c>
      <c r="S349" s="24">
        <f>IF(Tabell2[[#This Row],[Sysselsettingsvekst10]]&lt;=I$434,I$434,IF(Tabell2[[#This Row],[Sysselsettingsvekst10]]&gt;=I$435,I$435,Tabell2[[#This Row],[Sysselsettingsvekst10]]))</f>
        <v>5.5683785343335179E-2</v>
      </c>
      <c r="T349" s="24">
        <f>IF(Tabell2[[#This Row],[Yrkesaktivandel]]&lt;=J$434,J$434,IF(Tabell2[[#This Row],[Yrkesaktivandel]]&gt;=J$435,J$435,Tabell2[[#This Row],[Yrkesaktivandel]]))</f>
        <v>0.84399033179520988</v>
      </c>
      <c r="U349" s="24">
        <f>IF(Tabell2[[#This Row],[Inntekt]]&lt;=K$434,K$434,IF(Tabell2[[#This Row],[Inntekt]]&gt;=K$435,K$435,Tabell2[[#This Row],[Inntekt]]))</f>
        <v>379600</v>
      </c>
      <c r="V349" s="7">
        <f>IF(Tabell2[[#This Row],[NIBR11-T]]&lt;=L$437,100,IF(Tabell2[[#This Row],[NIBR11-T]]&gt;=L$436,0,100*(L$436-Tabell2[[#This Row],[NIBR11-T]])/L$439))</f>
        <v>40</v>
      </c>
      <c r="W349" s="7">
        <f>(M$436-Tabell2[[#This Row],[ReisetidOslo-T]])*100/M$439</f>
        <v>34.701279707500653</v>
      </c>
      <c r="X349" s="7">
        <f>100-(N$436-Tabell2[[#This Row],[Beftettland-T]])*100/N$439</f>
        <v>4.8489944034752881</v>
      </c>
      <c r="Y349" s="7">
        <f>100-(O$436-Tabell2[[#This Row],[Beftettotal-T]])*100/O$439</f>
        <v>4.8152277879393353</v>
      </c>
      <c r="Z349" s="7">
        <f>100-(P$436-Tabell2[[#This Row],[Befvekst10-T]])*100/P$439</f>
        <v>50.00473978446486</v>
      </c>
      <c r="AA349" s="7">
        <f>100-(Q$436-Tabell2[[#This Row],[Kvinneandel-T]])*100/Q$439</f>
        <v>61.115538931338101</v>
      </c>
      <c r="AB349" s="7">
        <f>(R$436-Tabell2[[#This Row],[Eldreandel-T]])*100/R$439</f>
        <v>77.57014445843167</v>
      </c>
      <c r="AC349" s="7">
        <f>100-(S$436-Tabell2[[#This Row],[Sysselsettingsvekst10-T]])*100/S$439</f>
        <v>48.382883442126342</v>
      </c>
      <c r="AD349" s="7">
        <f>100-(T$436-Tabell2[[#This Row],[Yrkesaktivandel-T]])*100/T$439</f>
        <v>31.81302948012879</v>
      </c>
      <c r="AE349" s="7">
        <f>100-(U$436-Tabell2[[#This Row],[Inntekt-T]])*100/U$439</f>
        <v>39.713350637625553</v>
      </c>
      <c r="AF349" s="7">
        <v>8</v>
      </c>
      <c r="AG349" s="7">
        <v>3.4701279707500654</v>
      </c>
      <c r="AH349" s="7">
        <v>0.48152277879393357</v>
      </c>
      <c r="AI349" s="7">
        <v>10.000947956892972</v>
      </c>
      <c r="AJ349" s="7">
        <v>3.0557769465669051</v>
      </c>
      <c r="AK349" s="7">
        <v>3.8785072229215838</v>
      </c>
      <c r="AL349" s="7">
        <v>4.8382883442126348</v>
      </c>
      <c r="AM349" s="7">
        <v>3.1813029480128794</v>
      </c>
      <c r="AN349" s="7">
        <v>3.9713350637625555</v>
      </c>
      <c r="AO34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40.877809231913524</v>
      </c>
    </row>
    <row r="350" spans="1:41" x14ac:dyDescent="0.3">
      <c r="A350" s="2" t="s">
        <v>347</v>
      </c>
      <c r="B350">
        <f>'Rådata-K'!N349</f>
        <v>9</v>
      </c>
      <c r="C350" s="7">
        <f>'Rådata-K'!M349</f>
        <v>279.1666666667</v>
      </c>
      <c r="D350" s="24">
        <f>'Rådata-K'!O349</f>
        <v>7.653500676756491</v>
      </c>
      <c r="E350" s="24">
        <f>'Rådata-K'!P349</f>
        <v>7.5421365344973932</v>
      </c>
      <c r="F350" s="24">
        <f>'Rådata-K'!Q349</f>
        <v>-4.8929663608562657E-2</v>
      </c>
      <c r="G350" s="24">
        <f>'Rådata-K'!R349</f>
        <v>9.3247588424437297E-2</v>
      </c>
      <c r="H350" s="24">
        <f>'Rådata-K'!S349</f>
        <v>0.21945337620578778</v>
      </c>
      <c r="I350" s="24">
        <f>'Rådata-K'!T349</f>
        <v>-8.7576374745417462E-2</v>
      </c>
      <c r="J350" s="24">
        <f>'Rådata-K'!U349</f>
        <v>0.85649546827794565</v>
      </c>
      <c r="K350" s="24">
        <f>'Rådata-K'!L349</f>
        <v>352100</v>
      </c>
      <c r="L350" s="24">
        <f>Tabell2[[#This Row],[NIBR11]]</f>
        <v>9</v>
      </c>
      <c r="M350" s="24">
        <f>IF(Tabell2[[#This Row],[ReisetidOslo]]&lt;=C$434,C$434,IF(Tabell2[[#This Row],[ReisetidOslo]]&gt;=C$435,C$435,Tabell2[[#This Row],[ReisetidOslo]]))</f>
        <v>279.1666666667</v>
      </c>
      <c r="N350" s="24">
        <f>IF(Tabell2[[#This Row],[Beftettland]]&lt;=D$434,D$434,IF(Tabell2[[#This Row],[Beftettland]]&gt;=D$435,D$435,Tabell2[[#This Row],[Beftettland]]))</f>
        <v>7.653500676756491</v>
      </c>
      <c r="O350" s="24">
        <f>IF(Tabell2[[#This Row],[Beftettotal]]&lt;=E$434,E$434,IF(Tabell2[[#This Row],[Beftettotal]]&gt;=E$435,E$435,Tabell2[[#This Row],[Beftettotal]]))</f>
        <v>7.5421365344973932</v>
      </c>
      <c r="P350" s="24">
        <f>IF(Tabell2[[#This Row],[Befvekst10]]&lt;=F$434,F$434,IF(Tabell2[[#This Row],[Befvekst10]]&gt;=F$435,F$435,Tabell2[[#This Row],[Befvekst10]]))</f>
        <v>-4.8929663608562657E-2</v>
      </c>
      <c r="Q350" s="24">
        <f>IF(Tabell2[[#This Row],[Kvinneandel]]&lt;=G$434,G$434,IF(Tabell2[[#This Row],[Kvinneandel]]&gt;=G$435,G$435,Tabell2[[#This Row],[Kvinneandel]]))</f>
        <v>9.3247588424437297E-2</v>
      </c>
      <c r="R350" s="24">
        <f>IF(Tabell2[[#This Row],[Eldreandel]]&lt;=H$434,H$434,IF(Tabell2[[#This Row],[Eldreandel]]&gt;=H$435,H$435,Tabell2[[#This Row],[Eldreandel]]))</f>
        <v>0.21945337620578778</v>
      </c>
      <c r="S350" s="24">
        <f>IF(Tabell2[[#This Row],[Sysselsettingsvekst10]]&lt;=I$434,I$434,IF(Tabell2[[#This Row],[Sysselsettingsvekst10]]&gt;=I$435,I$435,Tabell2[[#This Row],[Sysselsettingsvekst10]]))</f>
        <v>-8.7576374745417462E-2</v>
      </c>
      <c r="T350" s="24">
        <f>IF(Tabell2[[#This Row],[Yrkesaktivandel]]&lt;=J$434,J$434,IF(Tabell2[[#This Row],[Yrkesaktivandel]]&gt;=J$435,J$435,Tabell2[[#This Row],[Yrkesaktivandel]]))</f>
        <v>0.85649546827794565</v>
      </c>
      <c r="U350" s="24">
        <f>IF(Tabell2[[#This Row],[Inntekt]]&lt;=K$434,K$434,IF(Tabell2[[#This Row],[Inntekt]]&gt;=K$435,K$435,Tabell2[[#This Row],[Inntekt]]))</f>
        <v>352100</v>
      </c>
      <c r="V350" s="7">
        <f>IF(Tabell2[[#This Row],[NIBR11-T]]&lt;=L$437,100,IF(Tabell2[[#This Row],[NIBR11-T]]&gt;=L$436,0,100*(L$436-Tabell2[[#This Row],[NIBR11-T]])/L$439))</f>
        <v>20</v>
      </c>
      <c r="W350" s="7">
        <f>(M$436-Tabell2[[#This Row],[ReisetidOslo-T]])*100/M$439</f>
        <v>0.56599634368843166</v>
      </c>
      <c r="X350" s="7">
        <f>100-(N$436-Tabell2[[#This Row],[Beftettland-T]])*100/N$439</f>
        <v>4.6238572584064173</v>
      </c>
      <c r="Y350" s="7">
        <f>100-(O$436-Tabell2[[#This Row],[Beftettotal-T]])*100/O$439</f>
        <v>4.7641457057358423</v>
      </c>
      <c r="Z350" s="7">
        <f>100-(P$436-Tabell2[[#This Row],[Befvekst10-T]])*100/P$439</f>
        <v>8.9586569363801942</v>
      </c>
      <c r="AA350" s="7">
        <f>100-(Q$436-Tabell2[[#This Row],[Kvinneandel-T]])*100/Q$439</f>
        <v>9.7877943392731908</v>
      </c>
      <c r="AB350" s="7">
        <f>(R$436-Tabell2[[#This Row],[Eldreandel-T]])*100/R$439</f>
        <v>0.94497860327615135</v>
      </c>
      <c r="AC350" s="7">
        <f>100-(S$436-Tabell2[[#This Row],[Sysselsettingsvekst10-T]])*100/S$439</f>
        <v>1.6297438385500129</v>
      </c>
      <c r="AD350" s="7">
        <f>100-(T$436-Tabell2[[#This Row],[Yrkesaktivandel-T]])*100/T$439</f>
        <v>40.632824990088899</v>
      </c>
      <c r="AE350" s="7">
        <f>100-(U$436-Tabell2[[#This Row],[Inntekt-T]])*100/U$439</f>
        <v>8.6784787270059809</v>
      </c>
      <c r="AF350" s="7">
        <v>4</v>
      </c>
      <c r="AG350" s="7">
        <v>5.6599634368843167E-2</v>
      </c>
      <c r="AH350" s="7">
        <v>0.47641457057358427</v>
      </c>
      <c r="AI350" s="7">
        <v>1.791731387276039</v>
      </c>
      <c r="AJ350" s="7">
        <v>0.48938971696365957</v>
      </c>
      <c r="AK350" s="7">
        <v>4.7248930163807573E-2</v>
      </c>
      <c r="AL350" s="7">
        <v>0.16297438385500129</v>
      </c>
      <c r="AM350" s="7">
        <v>4.0632824990088903</v>
      </c>
      <c r="AN350" s="7">
        <v>0.86784787270059816</v>
      </c>
      <c r="AO35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11.955488994910421</v>
      </c>
    </row>
    <row r="351" spans="1:41" x14ac:dyDescent="0.3">
      <c r="A351" s="2" t="s">
        <v>348</v>
      </c>
      <c r="B351">
        <f>'Rådata-K'!N350</f>
        <v>7</v>
      </c>
      <c r="C351" s="7">
        <f>'Rådata-K'!M350</f>
        <v>247.2</v>
      </c>
      <c r="D351" s="24">
        <f>'Rådata-K'!O350</f>
        <v>0.98096122591130708</v>
      </c>
      <c r="E351" s="24">
        <f>'Rådata-K'!P350</f>
        <v>0.94080534421970685</v>
      </c>
      <c r="F351" s="24">
        <f>'Rådata-K'!Q350</f>
        <v>-1.744186046511631E-2</v>
      </c>
      <c r="G351" s="24">
        <f>'Rådata-K'!R350</f>
        <v>9.270216962524655E-2</v>
      </c>
      <c r="H351" s="24">
        <f>'Rådata-K'!S350</f>
        <v>0.21104536489151873</v>
      </c>
      <c r="I351" s="24">
        <f>'Rådata-K'!T350</f>
        <v>-5.9701492537313383E-2</v>
      </c>
      <c r="J351" s="24">
        <f>'Rådata-K'!U350</f>
        <v>0.89849624060150379</v>
      </c>
      <c r="K351" s="24">
        <f>'Rådata-K'!L350</f>
        <v>346900</v>
      </c>
      <c r="L351" s="24">
        <f>Tabell2[[#This Row],[NIBR11]]</f>
        <v>7</v>
      </c>
      <c r="M351" s="24">
        <f>IF(Tabell2[[#This Row],[ReisetidOslo]]&lt;=C$434,C$434,IF(Tabell2[[#This Row],[ReisetidOslo]]&gt;=C$435,C$435,Tabell2[[#This Row],[ReisetidOslo]]))</f>
        <v>247.2</v>
      </c>
      <c r="N351" s="24">
        <f>IF(Tabell2[[#This Row],[Beftettland]]&lt;=D$434,D$434,IF(Tabell2[[#This Row],[Beftettland]]&gt;=D$435,D$435,Tabell2[[#This Row],[Beftettland]]))</f>
        <v>1.4025423756281519</v>
      </c>
      <c r="O351" s="24">
        <f>IF(Tabell2[[#This Row],[Beftettotal]]&lt;=E$434,E$434,IF(Tabell2[[#This Row],[Beftettotal]]&gt;=E$435,E$435,Tabell2[[#This Row],[Beftettotal]]))</f>
        <v>1.3180632767674032</v>
      </c>
      <c r="P351" s="24">
        <f>IF(Tabell2[[#This Row],[Befvekst10]]&lt;=F$434,F$434,IF(Tabell2[[#This Row],[Befvekst10]]&gt;=F$435,F$435,Tabell2[[#This Row],[Befvekst10]]))</f>
        <v>-1.744186046511631E-2</v>
      </c>
      <c r="Q351" s="24">
        <f>IF(Tabell2[[#This Row],[Kvinneandel]]&lt;=G$434,G$434,IF(Tabell2[[#This Row],[Kvinneandel]]&gt;=G$435,G$435,Tabell2[[#This Row],[Kvinneandel]]))</f>
        <v>9.270216962524655E-2</v>
      </c>
      <c r="R351" s="24">
        <f>IF(Tabell2[[#This Row],[Eldreandel]]&lt;=H$434,H$434,IF(Tabell2[[#This Row],[Eldreandel]]&gt;=H$435,H$435,Tabell2[[#This Row],[Eldreandel]]))</f>
        <v>0.21104536489151873</v>
      </c>
      <c r="S351" s="24">
        <f>IF(Tabell2[[#This Row],[Sysselsettingsvekst10]]&lt;=I$434,I$434,IF(Tabell2[[#This Row],[Sysselsettingsvekst10]]&gt;=I$435,I$435,Tabell2[[#This Row],[Sysselsettingsvekst10]]))</f>
        <v>-5.9701492537313383E-2</v>
      </c>
      <c r="T351" s="24">
        <f>IF(Tabell2[[#This Row],[Yrkesaktivandel]]&lt;=J$434,J$434,IF(Tabell2[[#This Row],[Yrkesaktivandel]]&gt;=J$435,J$435,Tabell2[[#This Row],[Yrkesaktivandel]]))</f>
        <v>0.89849624060150379</v>
      </c>
      <c r="U351" s="24">
        <f>IF(Tabell2[[#This Row],[Inntekt]]&lt;=K$434,K$434,IF(Tabell2[[#This Row],[Inntekt]]&gt;=K$435,K$435,Tabell2[[#This Row],[Inntekt]]))</f>
        <v>346900</v>
      </c>
      <c r="V351" s="7">
        <f>IF(Tabell2[[#This Row],[NIBR11-T]]&lt;=L$437,100,IF(Tabell2[[#This Row],[NIBR11-T]]&gt;=L$436,0,100*(L$436-Tabell2[[#This Row],[NIBR11-T]])/L$439))</f>
        <v>40</v>
      </c>
      <c r="W351" s="7">
        <f>(M$436-Tabell2[[#This Row],[ReisetidOslo-T]])*100/M$439</f>
        <v>14.591590493610216</v>
      </c>
      <c r="X351" s="7">
        <f>100-(N$436-Tabell2[[#This Row],[Beftettland-T]])*100/N$439</f>
        <v>0</v>
      </c>
      <c r="Y351" s="7">
        <f>100-(O$436-Tabell2[[#This Row],[Beftettotal-T]])*100/O$439</f>
        <v>0</v>
      </c>
      <c r="Z351" s="7">
        <f>100-(P$436-Tabell2[[#This Row],[Befvekst10-T]])*100/P$439</f>
        <v>21.703693253379654</v>
      </c>
      <c r="AA351" s="7">
        <f>100-(Q$436-Tabell2[[#This Row],[Kvinneandel-T]])*100/Q$439</f>
        <v>8.3549500986985521</v>
      </c>
      <c r="AB351" s="7">
        <f>(R$436-Tabell2[[#This Row],[Eldreandel-T]])*100/R$439</f>
        <v>10.019365457265003</v>
      </c>
      <c r="AC351" s="7">
        <f>100-(S$436-Tabell2[[#This Row],[Sysselsettingsvekst10-T]])*100/S$439</f>
        <v>10.726747907939256</v>
      </c>
      <c r="AD351" s="7">
        <f>100-(T$436-Tabell2[[#This Row],[Yrkesaktivandel-T]])*100/T$439</f>
        <v>70.25571024732632</v>
      </c>
      <c r="AE351" s="7">
        <f>100-(U$436-Tabell2[[#This Row],[Inntekt-T]])*100/U$439</f>
        <v>2.8100665839070018</v>
      </c>
      <c r="AF351" s="7">
        <v>8</v>
      </c>
      <c r="AG351" s="7">
        <v>1.4591590493610216</v>
      </c>
      <c r="AH351" s="7">
        <v>0</v>
      </c>
      <c r="AI351" s="7">
        <v>4.3407386506759309</v>
      </c>
      <c r="AJ351" s="7">
        <v>0.41774750493492763</v>
      </c>
      <c r="AK351" s="7">
        <v>0.50096827286325019</v>
      </c>
      <c r="AL351" s="7">
        <v>1.0726747907939256</v>
      </c>
      <c r="AM351" s="7">
        <v>7.0255710247326322</v>
      </c>
      <c r="AN351" s="7">
        <v>0.28100665839070021</v>
      </c>
      <c r="AO35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23.097865951752389</v>
      </c>
    </row>
    <row r="352" spans="1:41" x14ac:dyDescent="0.3">
      <c r="A352" s="2" t="s">
        <v>349</v>
      </c>
      <c r="B352">
        <f>'Rådata-K'!N351</f>
        <v>9</v>
      </c>
      <c r="C352" s="7">
        <f>'Rådata-K'!M351</f>
        <v>266.48333333330004</v>
      </c>
      <c r="D352" s="24">
        <f>'Rådata-K'!O351</f>
        <v>27.315467795016453</v>
      </c>
      <c r="E352" s="24">
        <f>'Rådata-K'!P351</f>
        <v>27.065217391304344</v>
      </c>
      <c r="F352" s="24">
        <f>'Rådata-K'!Q351</f>
        <v>1.0434782608695681E-2</v>
      </c>
      <c r="G352" s="24">
        <f>'Rådata-K'!R351</f>
        <v>0.10556511761331039</v>
      </c>
      <c r="H352" s="24">
        <f>'Rådata-K'!S351</f>
        <v>0.18646012621916236</v>
      </c>
      <c r="I352" s="24">
        <f>'Rådata-K'!T351</f>
        <v>2.0382165605095537E-2</v>
      </c>
      <c r="J352" s="24">
        <f>'Rådata-K'!U351</f>
        <v>0.77756097560975612</v>
      </c>
      <c r="K352" s="24">
        <f>'Rådata-K'!L351</f>
        <v>359300</v>
      </c>
      <c r="L352" s="24">
        <f>Tabell2[[#This Row],[NIBR11]]</f>
        <v>9</v>
      </c>
      <c r="M352" s="24">
        <f>IF(Tabell2[[#This Row],[ReisetidOslo]]&lt;=C$434,C$434,IF(Tabell2[[#This Row],[ReisetidOslo]]&gt;=C$435,C$435,Tabell2[[#This Row],[ReisetidOslo]]))</f>
        <v>266.48333333330004</v>
      </c>
      <c r="N352" s="24">
        <f>IF(Tabell2[[#This Row],[Beftettland]]&lt;=D$434,D$434,IF(Tabell2[[#This Row],[Beftettland]]&gt;=D$435,D$435,Tabell2[[#This Row],[Beftettland]]))</f>
        <v>27.315467795016453</v>
      </c>
      <c r="O352" s="24">
        <f>IF(Tabell2[[#This Row],[Beftettotal]]&lt;=E$434,E$434,IF(Tabell2[[#This Row],[Beftettotal]]&gt;=E$435,E$435,Tabell2[[#This Row],[Beftettotal]]))</f>
        <v>27.065217391304344</v>
      </c>
      <c r="P352" s="24">
        <f>IF(Tabell2[[#This Row],[Befvekst10]]&lt;=F$434,F$434,IF(Tabell2[[#This Row],[Befvekst10]]&gt;=F$435,F$435,Tabell2[[#This Row],[Befvekst10]]))</f>
        <v>1.0434782608695681E-2</v>
      </c>
      <c r="Q352" s="24">
        <f>IF(Tabell2[[#This Row],[Kvinneandel]]&lt;=G$434,G$434,IF(Tabell2[[#This Row],[Kvinneandel]]&gt;=G$435,G$435,Tabell2[[#This Row],[Kvinneandel]]))</f>
        <v>0.10556511761331039</v>
      </c>
      <c r="R352" s="24">
        <f>IF(Tabell2[[#This Row],[Eldreandel]]&lt;=H$434,H$434,IF(Tabell2[[#This Row],[Eldreandel]]&gt;=H$435,H$435,Tabell2[[#This Row],[Eldreandel]]))</f>
        <v>0.18646012621916236</v>
      </c>
      <c r="S352" s="24">
        <f>IF(Tabell2[[#This Row],[Sysselsettingsvekst10]]&lt;=I$434,I$434,IF(Tabell2[[#This Row],[Sysselsettingsvekst10]]&gt;=I$435,I$435,Tabell2[[#This Row],[Sysselsettingsvekst10]]))</f>
        <v>2.0382165605095537E-2</v>
      </c>
      <c r="T352" s="24">
        <f>IF(Tabell2[[#This Row],[Yrkesaktivandel]]&lt;=J$434,J$434,IF(Tabell2[[#This Row],[Yrkesaktivandel]]&gt;=J$435,J$435,Tabell2[[#This Row],[Yrkesaktivandel]]))</f>
        <v>0.79888426611272945</v>
      </c>
      <c r="U352" s="24">
        <f>IF(Tabell2[[#This Row],[Inntekt]]&lt;=K$434,K$434,IF(Tabell2[[#This Row],[Inntekt]]&gt;=K$435,K$435,Tabell2[[#This Row],[Inntekt]]))</f>
        <v>359300</v>
      </c>
      <c r="V352" s="7">
        <f>IF(Tabell2[[#This Row],[NIBR11-T]]&lt;=L$437,100,IF(Tabell2[[#This Row],[NIBR11-T]]&gt;=L$436,0,100*(L$436-Tabell2[[#This Row],[NIBR11-T]])/L$439))</f>
        <v>20</v>
      </c>
      <c r="W352" s="7">
        <f>(M$436-Tabell2[[#This Row],[ReisetidOslo-T]])*100/M$439</f>
        <v>6.1308957952710239</v>
      </c>
      <c r="X352" s="7">
        <f>100-(N$436-Tabell2[[#This Row],[Beftettland-T]])*100/N$439</f>
        <v>19.167887948533405</v>
      </c>
      <c r="Y352" s="7">
        <f>100-(O$436-Tabell2[[#This Row],[Beftettotal-T]])*100/O$439</f>
        <v>19.70786471019575</v>
      </c>
      <c r="Z352" s="7">
        <f>100-(P$436-Tabell2[[#This Row],[Befvekst10-T]])*100/P$439</f>
        <v>32.987072622629583</v>
      </c>
      <c r="AA352" s="7">
        <f>100-(Q$436-Tabell2[[#This Row],[Kvinneandel-T]])*100/Q$439</f>
        <v>42.146599687701375</v>
      </c>
      <c r="AB352" s="7">
        <f>(R$436-Tabell2[[#This Row],[Eldreandel-T]])*100/R$439</f>
        <v>36.553103135757162</v>
      </c>
      <c r="AC352" s="7">
        <f>100-(S$436-Tabell2[[#This Row],[Sysselsettingsvekst10-T]])*100/S$439</f>
        <v>36.862153918776741</v>
      </c>
      <c r="AD352" s="7">
        <f>100-(T$436-Tabell2[[#This Row],[Yrkesaktivandel-T]])*100/T$439</f>
        <v>0</v>
      </c>
      <c r="AE352" s="7">
        <f>100-(U$436-Tabell2[[#This Row],[Inntekt-T]])*100/U$439</f>
        <v>16.803972463604566</v>
      </c>
      <c r="AF352" s="7">
        <v>4</v>
      </c>
      <c r="AG352" s="7">
        <v>0.61308957952710241</v>
      </c>
      <c r="AH352" s="7">
        <v>1.970786471019575</v>
      </c>
      <c r="AI352" s="7">
        <v>6.5974145245259166</v>
      </c>
      <c r="AJ352" s="7">
        <v>2.107329984385069</v>
      </c>
      <c r="AK352" s="7">
        <v>1.8276551567878583</v>
      </c>
      <c r="AL352" s="7">
        <v>3.6862153918776741</v>
      </c>
      <c r="AM352" s="7">
        <v>0</v>
      </c>
      <c r="AN352" s="7">
        <v>1.6803972463604566</v>
      </c>
      <c r="AO35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22.482888354483652</v>
      </c>
    </row>
    <row r="353" spans="1:41" x14ac:dyDescent="0.3">
      <c r="A353" s="2" t="s">
        <v>350</v>
      </c>
      <c r="B353">
        <f>'Rådata-K'!N352</f>
        <v>7</v>
      </c>
      <c r="C353" s="7">
        <f>'Rådata-K'!M352</f>
        <v>238.9</v>
      </c>
      <c r="D353" s="24">
        <f>'Rådata-K'!O352</f>
        <v>39.833958221746116</v>
      </c>
      <c r="E353" s="24">
        <f>'Rådata-K'!P352</f>
        <v>39.640744096796546</v>
      </c>
      <c r="F353" s="24">
        <f>'Rådata-K'!Q352</f>
        <v>1.7930468108404041E-2</v>
      </c>
      <c r="G353" s="24">
        <f>'Rådata-K'!R352</f>
        <v>0.1145623235175474</v>
      </c>
      <c r="H353" s="24">
        <f>'Rådata-K'!S352</f>
        <v>0.16243108780422214</v>
      </c>
      <c r="I353" s="24">
        <f>'Rådata-K'!T352</f>
        <v>0.11995419410249064</v>
      </c>
      <c r="J353" s="24">
        <f>'Rådata-K'!U352</f>
        <v>0.83053221288515411</v>
      </c>
      <c r="K353" s="24">
        <f>'Rådata-K'!L352</f>
        <v>376900</v>
      </c>
      <c r="L353" s="24">
        <f>Tabell2[[#This Row],[NIBR11]]</f>
        <v>7</v>
      </c>
      <c r="M353" s="24">
        <f>IF(Tabell2[[#This Row],[ReisetidOslo]]&lt;=C$434,C$434,IF(Tabell2[[#This Row],[ReisetidOslo]]&gt;=C$435,C$435,Tabell2[[#This Row],[ReisetidOslo]]))</f>
        <v>238.9</v>
      </c>
      <c r="N353" s="24">
        <f>IF(Tabell2[[#This Row],[Beftettland]]&lt;=D$434,D$434,IF(Tabell2[[#This Row],[Beftettland]]&gt;=D$435,D$435,Tabell2[[#This Row],[Beftettland]]))</f>
        <v>39.833958221746116</v>
      </c>
      <c r="O353" s="24">
        <f>IF(Tabell2[[#This Row],[Beftettotal]]&lt;=E$434,E$434,IF(Tabell2[[#This Row],[Beftettotal]]&gt;=E$435,E$435,Tabell2[[#This Row],[Beftettotal]]))</f>
        <v>39.640744096796546</v>
      </c>
      <c r="P353" s="24">
        <f>IF(Tabell2[[#This Row],[Befvekst10]]&lt;=F$434,F$434,IF(Tabell2[[#This Row],[Befvekst10]]&gt;=F$435,F$435,Tabell2[[#This Row],[Befvekst10]]))</f>
        <v>1.7930468108404041E-2</v>
      </c>
      <c r="Q353" s="24">
        <f>IF(Tabell2[[#This Row],[Kvinneandel]]&lt;=G$434,G$434,IF(Tabell2[[#This Row],[Kvinneandel]]&gt;=G$435,G$435,Tabell2[[#This Row],[Kvinneandel]]))</f>
        <v>0.1145623235175474</v>
      </c>
      <c r="R353" s="24">
        <f>IF(Tabell2[[#This Row],[Eldreandel]]&lt;=H$434,H$434,IF(Tabell2[[#This Row],[Eldreandel]]&gt;=H$435,H$435,Tabell2[[#This Row],[Eldreandel]]))</f>
        <v>0.16243108780422214</v>
      </c>
      <c r="S353" s="24">
        <f>IF(Tabell2[[#This Row],[Sysselsettingsvekst10]]&lt;=I$434,I$434,IF(Tabell2[[#This Row],[Sysselsettingsvekst10]]&gt;=I$435,I$435,Tabell2[[#This Row],[Sysselsettingsvekst10]]))</f>
        <v>0.11995419410249064</v>
      </c>
      <c r="T353" s="24">
        <f>IF(Tabell2[[#This Row],[Yrkesaktivandel]]&lt;=J$434,J$434,IF(Tabell2[[#This Row],[Yrkesaktivandel]]&gt;=J$435,J$435,Tabell2[[#This Row],[Yrkesaktivandel]]))</f>
        <v>0.83053221288515411</v>
      </c>
      <c r="U353" s="24">
        <f>IF(Tabell2[[#This Row],[Inntekt]]&lt;=K$434,K$434,IF(Tabell2[[#This Row],[Inntekt]]&gt;=K$435,K$435,Tabell2[[#This Row],[Inntekt]]))</f>
        <v>376900</v>
      </c>
      <c r="V353" s="7">
        <f>IF(Tabell2[[#This Row],[NIBR11-T]]&lt;=L$437,100,IF(Tabell2[[#This Row],[NIBR11-T]]&gt;=L$436,0,100*(L$436-Tabell2[[#This Row],[NIBR11-T]])/L$439))</f>
        <v>40</v>
      </c>
      <c r="W353" s="7">
        <f>(M$436-Tabell2[[#This Row],[ReisetidOslo-T]])*100/M$439</f>
        <v>18.233272394889543</v>
      </c>
      <c r="X353" s="7">
        <f>100-(N$436-Tabell2[[#This Row],[Beftettland-T]])*100/N$439</f>
        <v>28.427862185359913</v>
      </c>
      <c r="Y353" s="7">
        <f>100-(O$436-Tabell2[[#This Row],[Beftettotal-T]])*100/O$439</f>
        <v>29.333657831594124</v>
      </c>
      <c r="Z353" s="7">
        <f>100-(P$436-Tabell2[[#This Row],[Befvekst10-T]])*100/P$439</f>
        <v>36.02103416892669</v>
      </c>
      <c r="AA353" s="7">
        <f>100-(Q$436-Tabell2[[#This Row],[Kvinneandel-T]])*100/Q$439</f>
        <v>65.782738889866323</v>
      </c>
      <c r="AB353" s="7">
        <f>(R$436-Tabell2[[#This Row],[Eldreandel-T]])*100/R$439</f>
        <v>62.486558997844426</v>
      </c>
      <c r="AC353" s="7">
        <f>100-(S$436-Tabell2[[#This Row],[Sysselsettingsvekst10-T]])*100/S$439</f>
        <v>69.357614946224544</v>
      </c>
      <c r="AD353" s="7">
        <f>100-(T$436-Tabell2[[#This Row],[Yrkesaktivandel-T]])*100/T$439</f>
        <v>22.321101351292285</v>
      </c>
      <c r="AE353" s="7">
        <f>100-(U$436-Tabell2[[#This Row],[Inntekt-T]])*100/U$439</f>
        <v>36.666290486401081</v>
      </c>
      <c r="AF353" s="7">
        <v>8</v>
      </c>
      <c r="AG353" s="7">
        <v>1.8233272394889544</v>
      </c>
      <c r="AH353" s="7">
        <v>2.9333657831594127</v>
      </c>
      <c r="AI353" s="7">
        <v>7.2042068337853387</v>
      </c>
      <c r="AJ353" s="7">
        <v>3.2891369444933165</v>
      </c>
      <c r="AK353" s="7">
        <v>3.1243279498922214</v>
      </c>
      <c r="AL353" s="7">
        <v>6.9357614946224544</v>
      </c>
      <c r="AM353" s="7">
        <v>2.2321101351292287</v>
      </c>
      <c r="AN353" s="7">
        <v>3.6666290486401083</v>
      </c>
      <c r="AO35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39.208865429211031</v>
      </c>
    </row>
    <row r="354" spans="1:41" x14ac:dyDescent="0.3">
      <c r="A354" s="2" t="s">
        <v>351</v>
      </c>
      <c r="B354">
        <f>'Rådata-K'!N353</f>
        <v>7</v>
      </c>
      <c r="C354" s="7">
        <f>'Rådata-K'!M353</f>
        <v>251.4333333333</v>
      </c>
      <c r="D354" s="24">
        <f>'Rådata-K'!O353</f>
        <v>4.9130897481376374</v>
      </c>
      <c r="E354" s="24">
        <f>'Rådata-K'!P353</f>
        <v>4.7633377756760238</v>
      </c>
      <c r="F354" s="24">
        <f>'Rådata-K'!Q353</f>
        <v>2.7829313543599188E-2</v>
      </c>
      <c r="G354" s="24">
        <f>'Rådata-K'!R353</f>
        <v>0.11597472924187725</v>
      </c>
      <c r="H354" s="24">
        <f>'Rådata-K'!S353</f>
        <v>0.1615523465703971</v>
      </c>
      <c r="I354" s="24">
        <f>'Rådata-K'!T353</f>
        <v>-7.6056338028169024E-2</v>
      </c>
      <c r="J354" s="24">
        <f>'Rådata-K'!U353</f>
        <v>0.79033515198752924</v>
      </c>
      <c r="K354" s="24">
        <f>'Rådata-K'!L353</f>
        <v>345200</v>
      </c>
      <c r="L354" s="24">
        <f>Tabell2[[#This Row],[NIBR11]]</f>
        <v>7</v>
      </c>
      <c r="M354" s="24">
        <f>IF(Tabell2[[#This Row],[ReisetidOslo]]&lt;=C$434,C$434,IF(Tabell2[[#This Row],[ReisetidOslo]]&gt;=C$435,C$435,Tabell2[[#This Row],[ReisetidOslo]]))</f>
        <v>251.4333333333</v>
      </c>
      <c r="N354" s="24">
        <f>IF(Tabell2[[#This Row],[Beftettland]]&lt;=D$434,D$434,IF(Tabell2[[#This Row],[Beftettland]]&gt;=D$435,D$435,Tabell2[[#This Row],[Beftettland]]))</f>
        <v>4.9130897481376374</v>
      </c>
      <c r="O354" s="24">
        <f>IF(Tabell2[[#This Row],[Beftettotal]]&lt;=E$434,E$434,IF(Tabell2[[#This Row],[Beftettotal]]&gt;=E$435,E$435,Tabell2[[#This Row],[Beftettotal]]))</f>
        <v>4.7633377756760238</v>
      </c>
      <c r="P354" s="24">
        <f>IF(Tabell2[[#This Row],[Befvekst10]]&lt;=F$434,F$434,IF(Tabell2[[#This Row],[Befvekst10]]&gt;=F$435,F$435,Tabell2[[#This Row],[Befvekst10]]))</f>
        <v>2.7829313543599188E-2</v>
      </c>
      <c r="Q354" s="24">
        <f>IF(Tabell2[[#This Row],[Kvinneandel]]&lt;=G$434,G$434,IF(Tabell2[[#This Row],[Kvinneandel]]&gt;=G$435,G$435,Tabell2[[#This Row],[Kvinneandel]]))</f>
        <v>0.11597472924187725</v>
      </c>
      <c r="R354" s="24">
        <f>IF(Tabell2[[#This Row],[Eldreandel]]&lt;=H$434,H$434,IF(Tabell2[[#This Row],[Eldreandel]]&gt;=H$435,H$435,Tabell2[[#This Row],[Eldreandel]]))</f>
        <v>0.1615523465703971</v>
      </c>
      <c r="S354" s="24">
        <f>IF(Tabell2[[#This Row],[Sysselsettingsvekst10]]&lt;=I$434,I$434,IF(Tabell2[[#This Row],[Sysselsettingsvekst10]]&gt;=I$435,I$435,Tabell2[[#This Row],[Sysselsettingsvekst10]]))</f>
        <v>-7.6056338028169024E-2</v>
      </c>
      <c r="T354" s="24">
        <f>IF(Tabell2[[#This Row],[Yrkesaktivandel]]&lt;=J$434,J$434,IF(Tabell2[[#This Row],[Yrkesaktivandel]]&gt;=J$435,J$435,Tabell2[[#This Row],[Yrkesaktivandel]]))</f>
        <v>0.79888426611272945</v>
      </c>
      <c r="U354" s="24">
        <f>IF(Tabell2[[#This Row],[Inntekt]]&lt;=K$434,K$434,IF(Tabell2[[#This Row],[Inntekt]]&gt;=K$435,K$435,Tabell2[[#This Row],[Inntekt]]))</f>
        <v>345200</v>
      </c>
      <c r="V354" s="7">
        <f>IF(Tabell2[[#This Row],[NIBR11-T]]&lt;=L$437,100,IF(Tabell2[[#This Row],[NIBR11-T]]&gt;=L$436,0,100*(L$436-Tabell2[[#This Row],[NIBR11-T]])/L$439))</f>
        <v>40</v>
      </c>
      <c r="W354" s="7">
        <f>(M$436-Tabell2[[#This Row],[ReisetidOslo-T]])*100/M$439</f>
        <v>12.734186471687185</v>
      </c>
      <c r="X354" s="7">
        <f>100-(N$436-Tabell2[[#This Row],[Beftettland-T]])*100/N$439</f>
        <v>2.5967650346391906</v>
      </c>
      <c r="Y354" s="7">
        <f>100-(O$436-Tabell2[[#This Row],[Beftettotal-T]])*100/O$439</f>
        <v>2.6371459700721829</v>
      </c>
      <c r="Z354" s="7">
        <f>100-(P$436-Tabell2[[#This Row],[Befvekst10-T]])*100/P$439</f>
        <v>40.027701258186134</v>
      </c>
      <c r="AA354" s="7">
        <f>100-(Q$436-Tabell2[[#This Row],[Kvinneandel-T]])*100/Q$439</f>
        <v>69.493203968193995</v>
      </c>
      <c r="AB354" s="7">
        <f>(R$436-Tabell2[[#This Row],[Eldreandel-T]])*100/R$439</f>
        <v>63.434944722153247</v>
      </c>
      <c r="AC354" s="7">
        <f>100-(S$436-Tabell2[[#This Row],[Sysselsettingsvekst10-T]])*100/S$439</f>
        <v>5.3893228069538566</v>
      </c>
      <c r="AD354" s="7">
        <f>100-(T$436-Tabell2[[#This Row],[Yrkesaktivandel-T]])*100/T$439</f>
        <v>0</v>
      </c>
      <c r="AE354" s="7">
        <f>100-(U$436-Tabell2[[#This Row],[Inntekt-T]])*100/U$439</f>
        <v>0.89154722943234788</v>
      </c>
      <c r="AF354" s="7">
        <v>8</v>
      </c>
      <c r="AG354" s="7">
        <v>1.2734186471687186</v>
      </c>
      <c r="AH354" s="7">
        <v>0.26371459700721828</v>
      </c>
      <c r="AI354" s="7">
        <v>8.0055402516372265</v>
      </c>
      <c r="AJ354" s="7">
        <v>3.4746601984096999</v>
      </c>
      <c r="AK354" s="7">
        <v>3.1717472361076626</v>
      </c>
      <c r="AL354" s="7">
        <v>0.53893228069538568</v>
      </c>
      <c r="AM354" s="7">
        <v>0</v>
      </c>
      <c r="AN354" s="7">
        <v>8.9154722943234788E-2</v>
      </c>
      <c r="AO35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24.817167933969145</v>
      </c>
    </row>
    <row r="355" spans="1:41" x14ac:dyDescent="0.3">
      <c r="A355" s="2" t="s">
        <v>352</v>
      </c>
      <c r="B355">
        <f>'Rådata-K'!N354</f>
        <v>6</v>
      </c>
      <c r="C355" s="7">
        <f>'Rådata-K'!M354</f>
        <v>236.11666666667</v>
      </c>
      <c r="D355" s="24">
        <f>'Rådata-K'!O354</f>
        <v>7.3014491965523804</v>
      </c>
      <c r="E355" s="24">
        <f>'Rådata-K'!P354</f>
        <v>6.9620811058856464</v>
      </c>
      <c r="F355" s="24">
        <f>'Rådata-K'!Q354</f>
        <v>-9.6726190476192908E-4</v>
      </c>
      <c r="G355" s="24">
        <f>'Rådata-K'!R354</f>
        <v>0.11141729351307068</v>
      </c>
      <c r="H355" s="24">
        <f>'Rådata-K'!S354</f>
        <v>0.17695687793252401</v>
      </c>
      <c r="I355" s="24">
        <f>'Rådata-K'!T354</f>
        <v>1.6520157623522325E-2</v>
      </c>
      <c r="J355" s="24">
        <f>'Rådata-K'!U354</f>
        <v>0.86985043295722908</v>
      </c>
      <c r="K355" s="24">
        <f>'Rådata-K'!L354</f>
        <v>378200</v>
      </c>
      <c r="L355" s="24">
        <f>Tabell2[[#This Row],[NIBR11]]</f>
        <v>6</v>
      </c>
      <c r="M355" s="24">
        <f>IF(Tabell2[[#This Row],[ReisetidOslo]]&lt;=C$434,C$434,IF(Tabell2[[#This Row],[ReisetidOslo]]&gt;=C$435,C$435,Tabell2[[#This Row],[ReisetidOslo]]))</f>
        <v>236.11666666667</v>
      </c>
      <c r="N355" s="24">
        <f>IF(Tabell2[[#This Row],[Beftettland]]&lt;=D$434,D$434,IF(Tabell2[[#This Row],[Beftettland]]&gt;=D$435,D$435,Tabell2[[#This Row],[Beftettland]]))</f>
        <v>7.3014491965523804</v>
      </c>
      <c r="O355" s="24">
        <f>IF(Tabell2[[#This Row],[Beftettotal]]&lt;=E$434,E$434,IF(Tabell2[[#This Row],[Beftettotal]]&gt;=E$435,E$435,Tabell2[[#This Row],[Beftettotal]]))</f>
        <v>6.9620811058856464</v>
      </c>
      <c r="P355" s="24">
        <f>IF(Tabell2[[#This Row],[Befvekst10]]&lt;=F$434,F$434,IF(Tabell2[[#This Row],[Befvekst10]]&gt;=F$435,F$435,Tabell2[[#This Row],[Befvekst10]]))</f>
        <v>-9.6726190476192908E-4</v>
      </c>
      <c r="Q355" s="24">
        <f>IF(Tabell2[[#This Row],[Kvinneandel]]&lt;=G$434,G$434,IF(Tabell2[[#This Row],[Kvinneandel]]&gt;=G$435,G$435,Tabell2[[#This Row],[Kvinneandel]]))</f>
        <v>0.11141729351307068</v>
      </c>
      <c r="R355" s="24">
        <f>IF(Tabell2[[#This Row],[Eldreandel]]&lt;=H$434,H$434,IF(Tabell2[[#This Row],[Eldreandel]]&gt;=H$435,H$435,Tabell2[[#This Row],[Eldreandel]]))</f>
        <v>0.17695687793252401</v>
      </c>
      <c r="S355" s="24">
        <f>IF(Tabell2[[#This Row],[Sysselsettingsvekst10]]&lt;=I$434,I$434,IF(Tabell2[[#This Row],[Sysselsettingsvekst10]]&gt;=I$435,I$435,Tabell2[[#This Row],[Sysselsettingsvekst10]]))</f>
        <v>1.6520157623522325E-2</v>
      </c>
      <c r="T355" s="24">
        <f>IF(Tabell2[[#This Row],[Yrkesaktivandel]]&lt;=J$434,J$434,IF(Tabell2[[#This Row],[Yrkesaktivandel]]&gt;=J$435,J$435,Tabell2[[#This Row],[Yrkesaktivandel]]))</f>
        <v>0.86985043295722908</v>
      </c>
      <c r="U355" s="24">
        <f>IF(Tabell2[[#This Row],[Inntekt]]&lt;=K$434,K$434,IF(Tabell2[[#This Row],[Inntekt]]&gt;=K$435,K$435,Tabell2[[#This Row],[Inntekt]]))</f>
        <v>378200</v>
      </c>
      <c r="V355" s="7">
        <f>IF(Tabell2[[#This Row],[NIBR11-T]]&lt;=L$437,100,IF(Tabell2[[#This Row],[NIBR11-T]]&gt;=L$436,0,100*(L$436-Tabell2[[#This Row],[NIBR11-T]])/L$439))</f>
        <v>50</v>
      </c>
      <c r="W355" s="7">
        <f>(M$436-Tabell2[[#This Row],[ReisetidOslo-T]])*100/M$439</f>
        <v>19.454478976240789</v>
      </c>
      <c r="X355" s="7">
        <f>100-(N$436-Tabell2[[#This Row],[Beftettland-T]])*100/N$439</f>
        <v>4.3634434604483232</v>
      </c>
      <c r="Y355" s="7">
        <f>100-(O$436-Tabell2[[#This Row],[Beftettotal-T]])*100/O$439</f>
        <v>4.3201489105700261</v>
      </c>
      <c r="Z355" s="7">
        <f>100-(P$436-Tabell2[[#This Row],[Befvekst10-T]])*100/P$439</f>
        <v>28.37196909349349</v>
      </c>
      <c r="AA355" s="7">
        <f>100-(Q$436-Tabell2[[#This Row],[Kvinneandel-T]])*100/Q$439</f>
        <v>57.520577528660816</v>
      </c>
      <c r="AB355" s="7">
        <f>(R$436-Tabell2[[#This Row],[Eldreandel-T]])*100/R$439</f>
        <v>46.809529786386619</v>
      </c>
      <c r="AC355" s="7">
        <f>100-(S$436-Tabell2[[#This Row],[Sysselsettingsvekst10-T]])*100/S$439</f>
        <v>35.601782590134093</v>
      </c>
      <c r="AD355" s="7">
        <f>100-(T$436-Tabell2[[#This Row],[Yrkesaktivandel-T]])*100/T$439</f>
        <v>50.05199907720381</v>
      </c>
      <c r="AE355" s="7">
        <f>100-(U$436-Tabell2[[#This Row],[Inntekt-T]])*100/U$439</f>
        <v>38.13339352217583</v>
      </c>
      <c r="AF355" s="7">
        <v>10</v>
      </c>
      <c r="AG355" s="7">
        <v>1.945447897624079</v>
      </c>
      <c r="AH355" s="7">
        <v>0.43201489105700264</v>
      </c>
      <c r="AI355" s="7">
        <v>5.6743938186986984</v>
      </c>
      <c r="AJ355" s="7">
        <v>2.8760288764330411</v>
      </c>
      <c r="AK355" s="7">
        <v>2.3404764893193311</v>
      </c>
      <c r="AL355" s="7">
        <v>3.5601782590134095</v>
      </c>
      <c r="AM355" s="7">
        <v>5.0051999077203817</v>
      </c>
      <c r="AN355" s="7">
        <v>3.8133393522175831</v>
      </c>
      <c r="AO35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35.647079492083527</v>
      </c>
    </row>
    <row r="356" spans="1:41" x14ac:dyDescent="0.3">
      <c r="A356" s="2" t="s">
        <v>353</v>
      </c>
      <c r="B356">
        <f>'Rådata-K'!N355</f>
        <v>6</v>
      </c>
      <c r="C356" s="7">
        <f>'Rådata-K'!M355</f>
        <v>260.6666666667</v>
      </c>
      <c r="D356" s="24">
        <f>'Rådata-K'!O355</f>
        <v>0.77621861544260917</v>
      </c>
      <c r="E356" s="24">
        <f>'Rådata-K'!P355</f>
        <v>0.72948631589451884</v>
      </c>
      <c r="F356" s="24">
        <f>'Rådata-K'!Q355</f>
        <v>-5.2495139338950114E-2</v>
      </c>
      <c r="G356" s="24">
        <f>'Rådata-K'!R355</f>
        <v>9.370725034199727E-2</v>
      </c>
      <c r="H356" s="24">
        <f>'Rådata-K'!S355</f>
        <v>0.2161422708618331</v>
      </c>
      <c r="I356" s="24">
        <f>'Rådata-K'!T355</f>
        <v>-5.5248618784530357E-2</v>
      </c>
      <c r="J356" s="24">
        <f>'Rådata-K'!U355</f>
        <v>0.88035264483627207</v>
      </c>
      <c r="K356" s="24">
        <f>'Rådata-K'!L355</f>
        <v>355500</v>
      </c>
      <c r="L356" s="24">
        <f>Tabell2[[#This Row],[NIBR11]]</f>
        <v>6</v>
      </c>
      <c r="M356" s="24">
        <f>IF(Tabell2[[#This Row],[ReisetidOslo]]&lt;=C$434,C$434,IF(Tabell2[[#This Row],[ReisetidOslo]]&gt;=C$435,C$435,Tabell2[[#This Row],[ReisetidOslo]]))</f>
        <v>260.6666666667</v>
      </c>
      <c r="N356" s="24">
        <f>IF(Tabell2[[#This Row],[Beftettland]]&lt;=D$434,D$434,IF(Tabell2[[#This Row],[Beftettland]]&gt;=D$435,D$435,Tabell2[[#This Row],[Beftettland]]))</f>
        <v>1.4025423756281519</v>
      </c>
      <c r="O356" s="24">
        <f>IF(Tabell2[[#This Row],[Beftettotal]]&lt;=E$434,E$434,IF(Tabell2[[#This Row],[Beftettotal]]&gt;=E$435,E$435,Tabell2[[#This Row],[Beftettotal]]))</f>
        <v>1.3180632767674032</v>
      </c>
      <c r="P356" s="24">
        <f>IF(Tabell2[[#This Row],[Befvekst10]]&lt;=F$434,F$434,IF(Tabell2[[#This Row],[Befvekst10]]&gt;=F$435,F$435,Tabell2[[#This Row],[Befvekst10]]))</f>
        <v>-5.2495139338950114E-2</v>
      </c>
      <c r="Q356" s="24">
        <f>IF(Tabell2[[#This Row],[Kvinneandel]]&lt;=G$434,G$434,IF(Tabell2[[#This Row],[Kvinneandel]]&gt;=G$435,G$435,Tabell2[[#This Row],[Kvinneandel]]))</f>
        <v>9.370725034199727E-2</v>
      </c>
      <c r="R356" s="24">
        <f>IF(Tabell2[[#This Row],[Eldreandel]]&lt;=H$434,H$434,IF(Tabell2[[#This Row],[Eldreandel]]&gt;=H$435,H$435,Tabell2[[#This Row],[Eldreandel]]))</f>
        <v>0.2161422708618331</v>
      </c>
      <c r="S356" s="24">
        <f>IF(Tabell2[[#This Row],[Sysselsettingsvekst10]]&lt;=I$434,I$434,IF(Tabell2[[#This Row],[Sysselsettingsvekst10]]&gt;=I$435,I$435,Tabell2[[#This Row],[Sysselsettingsvekst10]]))</f>
        <v>-5.5248618784530357E-2</v>
      </c>
      <c r="T356" s="24">
        <f>IF(Tabell2[[#This Row],[Yrkesaktivandel]]&lt;=J$434,J$434,IF(Tabell2[[#This Row],[Yrkesaktivandel]]&gt;=J$435,J$435,Tabell2[[#This Row],[Yrkesaktivandel]]))</f>
        <v>0.88035264483627207</v>
      </c>
      <c r="U356" s="24">
        <f>IF(Tabell2[[#This Row],[Inntekt]]&lt;=K$434,K$434,IF(Tabell2[[#This Row],[Inntekt]]&gt;=K$435,K$435,Tabell2[[#This Row],[Inntekt]]))</f>
        <v>355500</v>
      </c>
      <c r="V356" s="7">
        <f>IF(Tabell2[[#This Row],[NIBR11-T]]&lt;=L$437,100,IF(Tabell2[[#This Row],[NIBR11-T]]&gt;=L$436,0,100*(L$436-Tabell2[[#This Row],[NIBR11-T]])/L$439))</f>
        <v>50</v>
      </c>
      <c r="W356" s="7">
        <f>(M$436-Tabell2[[#This Row],[ReisetidOslo-T]])*100/M$439</f>
        <v>8.6829981718411648</v>
      </c>
      <c r="X356" s="7">
        <f>100-(N$436-Tabell2[[#This Row],[Beftettland-T]])*100/N$439</f>
        <v>0</v>
      </c>
      <c r="Y356" s="7">
        <f>100-(O$436-Tabell2[[#This Row],[Beftettotal-T]])*100/O$439</f>
        <v>0</v>
      </c>
      <c r="Z356" s="7">
        <f>100-(P$436-Tabell2[[#This Row],[Befvekst10-T]])*100/P$439</f>
        <v>7.5154912298317953</v>
      </c>
      <c r="AA356" s="7">
        <f>100-(Q$436-Tabell2[[#This Row],[Kvinneandel-T]])*100/Q$439</f>
        <v>10.995350683433898</v>
      </c>
      <c r="AB356" s="7">
        <f>(R$436-Tabell2[[#This Row],[Eldreandel-T]])*100/R$439</f>
        <v>4.5185050511252109</v>
      </c>
      <c r="AC356" s="7">
        <f>100-(S$436-Tabell2[[#This Row],[Sysselsettingsvekst10-T]])*100/S$439</f>
        <v>12.17994904963831</v>
      </c>
      <c r="AD356" s="7">
        <f>100-(T$436-Tabell2[[#This Row],[Yrkesaktivandel-T]])*100/T$439</f>
        <v>57.459144237379533</v>
      </c>
      <c r="AE356" s="7">
        <f>100-(U$436-Tabell2[[#This Row],[Inntekt-T]])*100/U$439</f>
        <v>12.515517435955303</v>
      </c>
      <c r="AF356" s="7">
        <v>10</v>
      </c>
      <c r="AG356" s="7">
        <v>0.86829981718411653</v>
      </c>
      <c r="AH356" s="7">
        <v>0</v>
      </c>
      <c r="AI356" s="7">
        <v>1.5030982459663591</v>
      </c>
      <c r="AJ356" s="7">
        <v>0.54976753417169488</v>
      </c>
      <c r="AK356" s="7">
        <v>0.22592525255626056</v>
      </c>
      <c r="AL356" s="7">
        <v>1.217994904963831</v>
      </c>
      <c r="AM356" s="7">
        <v>5.745914423737954</v>
      </c>
      <c r="AN356" s="7">
        <v>1.2515517435955303</v>
      </c>
      <c r="AO35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21.362551922175747</v>
      </c>
    </row>
    <row r="357" spans="1:41" x14ac:dyDescent="0.3">
      <c r="A357" s="2" t="s">
        <v>354</v>
      </c>
      <c r="B357">
        <f>'Rådata-K'!N356</f>
        <v>11</v>
      </c>
      <c r="C357" s="7">
        <f>'Rådata-K'!M356</f>
        <v>286.45</v>
      </c>
      <c r="D357" s="24">
        <f>'Rådata-K'!O356</f>
        <v>0.60701485425428336</v>
      </c>
      <c r="E357" s="24">
        <f>'Rådata-K'!P356</f>
        <v>0.54576408835045132</v>
      </c>
      <c r="F357" s="24">
        <f>'Rådata-K'!Q356</f>
        <v>-2.528276779773786E-2</v>
      </c>
      <c r="G357" s="24">
        <f>'Rådata-K'!R356</f>
        <v>7.9180887372013647E-2</v>
      </c>
      <c r="H357" s="24">
        <f>'Rådata-K'!S356</f>
        <v>0.22866894197952217</v>
      </c>
      <c r="I357" s="24">
        <f>'Rådata-K'!T356</f>
        <v>1.7628205128205066E-2</v>
      </c>
      <c r="J357" s="24">
        <f>'Rådata-K'!U356</f>
        <v>0.92847682119205299</v>
      </c>
      <c r="K357" s="24">
        <f>'Rådata-K'!L356</f>
        <v>296400</v>
      </c>
      <c r="L357" s="24">
        <f>Tabell2[[#This Row],[NIBR11]]</f>
        <v>11</v>
      </c>
      <c r="M357" s="24">
        <f>IF(Tabell2[[#This Row],[ReisetidOslo]]&lt;=C$434,C$434,IF(Tabell2[[#This Row],[ReisetidOslo]]&gt;=C$435,C$435,Tabell2[[#This Row],[ReisetidOslo]]))</f>
        <v>280.45666666669001</v>
      </c>
      <c r="N357" s="24">
        <f>IF(Tabell2[[#This Row],[Beftettland]]&lt;=D$434,D$434,IF(Tabell2[[#This Row],[Beftettland]]&gt;=D$435,D$435,Tabell2[[#This Row],[Beftettland]]))</f>
        <v>1.4025423756281519</v>
      </c>
      <c r="O357" s="24">
        <f>IF(Tabell2[[#This Row],[Beftettotal]]&lt;=E$434,E$434,IF(Tabell2[[#This Row],[Beftettotal]]&gt;=E$435,E$435,Tabell2[[#This Row],[Beftettotal]]))</f>
        <v>1.3180632767674032</v>
      </c>
      <c r="P357" s="24">
        <f>IF(Tabell2[[#This Row],[Befvekst10]]&lt;=F$434,F$434,IF(Tabell2[[#This Row],[Befvekst10]]&gt;=F$435,F$435,Tabell2[[#This Row],[Befvekst10]]))</f>
        <v>-2.528276779773786E-2</v>
      </c>
      <c r="Q357" s="24">
        <f>IF(Tabell2[[#This Row],[Kvinneandel]]&lt;=G$434,G$434,IF(Tabell2[[#This Row],[Kvinneandel]]&gt;=G$435,G$435,Tabell2[[#This Row],[Kvinneandel]]))</f>
        <v>8.9521819157910881E-2</v>
      </c>
      <c r="R357" s="24">
        <f>IF(Tabell2[[#This Row],[Eldreandel]]&lt;=H$434,H$434,IF(Tabell2[[#This Row],[Eldreandel]]&gt;=H$435,H$435,Tabell2[[#This Row],[Eldreandel]]))</f>
        <v>0.22032896051974013</v>
      </c>
      <c r="S357" s="24">
        <f>IF(Tabell2[[#This Row],[Sysselsettingsvekst10]]&lt;=I$434,I$434,IF(Tabell2[[#This Row],[Sysselsettingsvekst10]]&gt;=I$435,I$435,Tabell2[[#This Row],[Sysselsettingsvekst10]]))</f>
        <v>1.7628205128205066E-2</v>
      </c>
      <c r="T357" s="24">
        <f>IF(Tabell2[[#This Row],[Yrkesaktivandel]]&lt;=J$434,J$434,IF(Tabell2[[#This Row],[Yrkesaktivandel]]&gt;=J$435,J$435,Tabell2[[#This Row],[Yrkesaktivandel]]))</f>
        <v>0.92847682119205299</v>
      </c>
      <c r="U357" s="24">
        <f>IF(Tabell2[[#This Row],[Inntekt]]&lt;=K$434,K$434,IF(Tabell2[[#This Row],[Inntekt]]&gt;=K$435,K$435,Tabell2[[#This Row],[Inntekt]]))</f>
        <v>344410</v>
      </c>
      <c r="V357" s="7">
        <f>IF(Tabell2[[#This Row],[NIBR11-T]]&lt;=L$437,100,IF(Tabell2[[#This Row],[NIBR11-T]]&gt;=L$436,0,100*(L$436-Tabell2[[#This Row],[NIBR11-T]])/L$439))</f>
        <v>0</v>
      </c>
      <c r="W357" s="7">
        <f>(M$436-Tabell2[[#This Row],[ReisetidOslo-T]])*100/M$439</f>
        <v>0</v>
      </c>
      <c r="X357" s="7">
        <f>100-(N$436-Tabell2[[#This Row],[Beftettland-T]])*100/N$439</f>
        <v>0</v>
      </c>
      <c r="Y357" s="7">
        <f>100-(O$436-Tabell2[[#This Row],[Beftettotal-T]])*100/O$439</f>
        <v>0</v>
      </c>
      <c r="Z357" s="7">
        <f>100-(P$436-Tabell2[[#This Row],[Befvekst10-T]])*100/P$439</f>
        <v>18.529999354912547</v>
      </c>
      <c r="AA357" s="7">
        <f>100-(Q$436-Tabell2[[#This Row],[Kvinneandel-T]])*100/Q$439</f>
        <v>0</v>
      </c>
      <c r="AB357" s="7">
        <f>(R$436-Tabell2[[#This Row],[Eldreandel-T]])*100/R$439</f>
        <v>0</v>
      </c>
      <c r="AC357" s="7">
        <f>100-(S$436-Tabell2[[#This Row],[Sysselsettingsvekst10-T]])*100/S$439</f>
        <v>35.963395334680328</v>
      </c>
      <c r="AD357" s="7">
        <f>100-(T$436-Tabell2[[#This Row],[Yrkesaktivandel-T]])*100/T$439</f>
        <v>91.400828530807473</v>
      </c>
      <c r="AE357" s="7">
        <f>100-(U$436-Tabell2[[#This Row],[Inntekt-T]])*100/U$439</f>
        <v>0</v>
      </c>
      <c r="AF357" s="7">
        <v>0</v>
      </c>
      <c r="AG357" s="7">
        <v>0</v>
      </c>
      <c r="AH357" s="7">
        <v>0</v>
      </c>
      <c r="AI357" s="7">
        <v>3.7059998709825095</v>
      </c>
      <c r="AJ357" s="7">
        <v>0</v>
      </c>
      <c r="AK357" s="7">
        <v>0</v>
      </c>
      <c r="AL357" s="7">
        <v>3.5963395334680328</v>
      </c>
      <c r="AM357" s="7">
        <v>9.140082853080747</v>
      </c>
      <c r="AN357" s="7">
        <v>0</v>
      </c>
      <c r="AO35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16.442422257531291</v>
      </c>
    </row>
    <row r="358" spans="1:41" x14ac:dyDescent="0.3">
      <c r="A358" s="2" t="s">
        <v>355</v>
      </c>
      <c r="B358">
        <f>'Rådata-K'!N357</f>
        <v>7</v>
      </c>
      <c r="C358" s="7">
        <f>'Rådata-K'!M357</f>
        <v>280.4166666667</v>
      </c>
      <c r="D358" s="24">
        <f>'Rådata-K'!O357</f>
        <v>7.5250925876227788</v>
      </c>
      <c r="E358" s="24">
        <f>'Rådata-K'!P357</f>
        <v>7.3043659476919869</v>
      </c>
      <c r="F358" s="24">
        <f>'Rådata-K'!Q357</f>
        <v>-6.9674850696748503E-2</v>
      </c>
      <c r="G358" s="24">
        <f>'Rådata-K'!R357</f>
        <v>8.1312410841654775E-2</v>
      </c>
      <c r="H358" s="24">
        <f>'Rådata-K'!S357</f>
        <v>0.20042796005706134</v>
      </c>
      <c r="I358" s="24">
        <f>'Rådata-K'!T357</f>
        <v>-7.3813708260105471E-2</v>
      </c>
      <c r="J358" s="24">
        <f>'Rådata-K'!U357</f>
        <v>0.83464566929133854</v>
      </c>
      <c r="K358" s="24">
        <f>'Rådata-K'!L357</f>
        <v>369400</v>
      </c>
      <c r="L358" s="24">
        <f>Tabell2[[#This Row],[NIBR11]]</f>
        <v>7</v>
      </c>
      <c r="M358" s="24">
        <f>IF(Tabell2[[#This Row],[ReisetidOslo]]&lt;=C$434,C$434,IF(Tabell2[[#This Row],[ReisetidOslo]]&gt;=C$435,C$435,Tabell2[[#This Row],[ReisetidOslo]]))</f>
        <v>280.4166666667</v>
      </c>
      <c r="N358" s="24">
        <f>IF(Tabell2[[#This Row],[Beftettland]]&lt;=D$434,D$434,IF(Tabell2[[#This Row],[Beftettland]]&gt;=D$435,D$435,Tabell2[[#This Row],[Beftettland]]))</f>
        <v>7.5250925876227788</v>
      </c>
      <c r="O358" s="24">
        <f>IF(Tabell2[[#This Row],[Beftettotal]]&lt;=E$434,E$434,IF(Tabell2[[#This Row],[Beftettotal]]&gt;=E$435,E$435,Tabell2[[#This Row],[Beftettotal]]))</f>
        <v>7.3043659476919869</v>
      </c>
      <c r="P358" s="24">
        <f>IF(Tabell2[[#This Row],[Befvekst10]]&lt;=F$434,F$434,IF(Tabell2[[#This Row],[Befvekst10]]&gt;=F$435,F$435,Tabell2[[#This Row],[Befvekst10]]))</f>
        <v>-6.9674850696748503E-2</v>
      </c>
      <c r="Q358" s="24">
        <f>IF(Tabell2[[#This Row],[Kvinneandel]]&lt;=G$434,G$434,IF(Tabell2[[#This Row],[Kvinneandel]]&gt;=G$435,G$435,Tabell2[[#This Row],[Kvinneandel]]))</f>
        <v>8.9521819157910881E-2</v>
      </c>
      <c r="R358" s="24">
        <f>IF(Tabell2[[#This Row],[Eldreandel]]&lt;=H$434,H$434,IF(Tabell2[[#This Row],[Eldreandel]]&gt;=H$435,H$435,Tabell2[[#This Row],[Eldreandel]]))</f>
        <v>0.20042796005706134</v>
      </c>
      <c r="S358" s="24">
        <f>IF(Tabell2[[#This Row],[Sysselsettingsvekst10]]&lt;=I$434,I$434,IF(Tabell2[[#This Row],[Sysselsettingsvekst10]]&gt;=I$435,I$435,Tabell2[[#This Row],[Sysselsettingsvekst10]]))</f>
        <v>-7.3813708260105471E-2</v>
      </c>
      <c r="T358" s="24">
        <f>IF(Tabell2[[#This Row],[Yrkesaktivandel]]&lt;=J$434,J$434,IF(Tabell2[[#This Row],[Yrkesaktivandel]]&gt;=J$435,J$435,Tabell2[[#This Row],[Yrkesaktivandel]]))</f>
        <v>0.83464566929133854</v>
      </c>
      <c r="U358" s="24">
        <f>IF(Tabell2[[#This Row],[Inntekt]]&lt;=K$434,K$434,IF(Tabell2[[#This Row],[Inntekt]]&gt;=K$435,K$435,Tabell2[[#This Row],[Inntekt]]))</f>
        <v>369400</v>
      </c>
      <c r="V358" s="7">
        <f>IF(Tabell2[[#This Row],[NIBR11-T]]&lt;=L$437,100,IF(Tabell2[[#This Row],[NIBR11-T]]&gt;=L$436,0,100*(L$436-Tabell2[[#This Row],[NIBR11-T]])/L$439))</f>
        <v>40</v>
      </c>
      <c r="W358" s="7">
        <f>(M$436-Tabell2[[#This Row],[ReisetidOslo-T]])*100/M$439</f>
        <v>1.7550274218652399E-2</v>
      </c>
      <c r="X358" s="7">
        <f>100-(N$436-Tabell2[[#This Row],[Beftettland-T]])*100/N$439</f>
        <v>4.5288733141251356</v>
      </c>
      <c r="Y358" s="7">
        <f>100-(O$436-Tabell2[[#This Row],[Beftettotal-T]])*100/O$439</f>
        <v>4.5821469288621302</v>
      </c>
      <c r="Z358" s="7">
        <f>100-(P$436-Tabell2[[#This Row],[Befvekst10-T]])*100/P$439</f>
        <v>0.56181319223644266</v>
      </c>
      <c r="AA358" s="7">
        <f>100-(Q$436-Tabell2[[#This Row],[Kvinneandel-T]])*100/Q$439</f>
        <v>0</v>
      </c>
      <c r="AB358" s="7">
        <f>(R$436-Tabell2[[#This Row],[Eldreandel-T]])*100/R$439</f>
        <v>21.478250947793594</v>
      </c>
      <c r="AC358" s="7">
        <f>100-(S$436-Tabell2[[#This Row],[Sysselsettingsvekst10-T]])*100/S$439</f>
        <v>6.1212079490649245</v>
      </c>
      <c r="AD358" s="7">
        <f>100-(T$436-Tabell2[[#This Row],[Yrkesaktivandel-T]])*100/T$439</f>
        <v>25.222296743423271</v>
      </c>
      <c r="AE358" s="7">
        <f>100-(U$436-Tabell2[[#This Row],[Inntekt-T]])*100/U$439</f>
        <v>28.202234510777558</v>
      </c>
      <c r="AF358" s="7">
        <v>8</v>
      </c>
      <c r="AG358" s="7">
        <v>1.7550274218652399E-3</v>
      </c>
      <c r="AH358" s="7">
        <v>0.45821469288621303</v>
      </c>
      <c r="AI358" s="7">
        <v>0.11236263844728854</v>
      </c>
      <c r="AJ358" s="7">
        <v>0</v>
      </c>
      <c r="AK358" s="7">
        <v>1.0739125473896798</v>
      </c>
      <c r="AL358" s="7">
        <v>0.61212079490649252</v>
      </c>
      <c r="AM358" s="7">
        <v>2.5222296743423271</v>
      </c>
      <c r="AN358" s="7">
        <v>2.820223451077756</v>
      </c>
      <c r="AO35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15.60081882647162</v>
      </c>
    </row>
    <row r="359" spans="1:41" x14ac:dyDescent="0.3">
      <c r="A359" s="2" t="s">
        <v>356</v>
      </c>
      <c r="B359">
        <f>'Rådata-K'!N358</f>
        <v>5</v>
      </c>
      <c r="C359" s="7">
        <f>'Rådata-K'!M358</f>
        <v>297.95</v>
      </c>
      <c r="D359" s="24">
        <f>'Rådata-K'!O358</f>
        <v>10.133421545925682</v>
      </c>
      <c r="E359" s="24">
        <f>'Rådata-K'!P358</f>
        <v>10.033846489791461</v>
      </c>
      <c r="F359" s="24">
        <f>'Rådata-K'!Q358</f>
        <v>3.9005087620124446E-2</v>
      </c>
      <c r="G359" s="24">
        <f>'Rådata-K'!R358</f>
        <v>0.12187159956474429</v>
      </c>
      <c r="H359" s="24">
        <f>'Rådata-K'!S358</f>
        <v>0.15778019586507072</v>
      </c>
      <c r="I359" s="24">
        <f>'Rådata-K'!T358</f>
        <v>5.170239596469095E-2</v>
      </c>
      <c r="J359" s="24">
        <f>'Rådata-K'!U358</f>
        <v>0.78822412155745492</v>
      </c>
      <c r="K359" s="24">
        <f>'Rådata-K'!L358</f>
        <v>311000</v>
      </c>
      <c r="L359" s="24">
        <f>Tabell2[[#This Row],[NIBR11]]</f>
        <v>5</v>
      </c>
      <c r="M359" s="24">
        <f>IF(Tabell2[[#This Row],[ReisetidOslo]]&lt;=C$434,C$434,IF(Tabell2[[#This Row],[ReisetidOslo]]&gt;=C$435,C$435,Tabell2[[#This Row],[ReisetidOslo]]))</f>
        <v>280.45666666669001</v>
      </c>
      <c r="N359" s="24">
        <f>IF(Tabell2[[#This Row],[Beftettland]]&lt;=D$434,D$434,IF(Tabell2[[#This Row],[Beftettland]]&gt;=D$435,D$435,Tabell2[[#This Row],[Beftettland]]))</f>
        <v>10.133421545925682</v>
      </c>
      <c r="O359" s="24">
        <f>IF(Tabell2[[#This Row],[Beftettotal]]&lt;=E$434,E$434,IF(Tabell2[[#This Row],[Beftettotal]]&gt;=E$435,E$435,Tabell2[[#This Row],[Beftettotal]]))</f>
        <v>10.033846489791461</v>
      </c>
      <c r="P359" s="24">
        <f>IF(Tabell2[[#This Row],[Befvekst10]]&lt;=F$434,F$434,IF(Tabell2[[#This Row],[Befvekst10]]&gt;=F$435,F$435,Tabell2[[#This Row],[Befvekst10]]))</f>
        <v>3.9005087620124446E-2</v>
      </c>
      <c r="Q359" s="24">
        <f>IF(Tabell2[[#This Row],[Kvinneandel]]&lt;=G$434,G$434,IF(Tabell2[[#This Row],[Kvinneandel]]&gt;=G$435,G$435,Tabell2[[#This Row],[Kvinneandel]]))</f>
        <v>0.12187159956474429</v>
      </c>
      <c r="R359" s="24">
        <f>IF(Tabell2[[#This Row],[Eldreandel]]&lt;=H$434,H$434,IF(Tabell2[[#This Row],[Eldreandel]]&gt;=H$435,H$435,Tabell2[[#This Row],[Eldreandel]]))</f>
        <v>0.15778019586507072</v>
      </c>
      <c r="S359" s="24">
        <f>IF(Tabell2[[#This Row],[Sysselsettingsvekst10]]&lt;=I$434,I$434,IF(Tabell2[[#This Row],[Sysselsettingsvekst10]]&gt;=I$435,I$435,Tabell2[[#This Row],[Sysselsettingsvekst10]]))</f>
        <v>5.170239596469095E-2</v>
      </c>
      <c r="T359" s="24">
        <f>IF(Tabell2[[#This Row],[Yrkesaktivandel]]&lt;=J$434,J$434,IF(Tabell2[[#This Row],[Yrkesaktivandel]]&gt;=J$435,J$435,Tabell2[[#This Row],[Yrkesaktivandel]]))</f>
        <v>0.79888426611272945</v>
      </c>
      <c r="U359" s="24">
        <f>IF(Tabell2[[#This Row],[Inntekt]]&lt;=K$434,K$434,IF(Tabell2[[#This Row],[Inntekt]]&gt;=K$435,K$435,Tabell2[[#This Row],[Inntekt]]))</f>
        <v>344410</v>
      </c>
      <c r="V359" s="7">
        <f>IF(Tabell2[[#This Row],[NIBR11-T]]&lt;=L$437,100,IF(Tabell2[[#This Row],[NIBR11-T]]&gt;=L$436,0,100*(L$436-Tabell2[[#This Row],[NIBR11-T]])/L$439))</f>
        <v>60</v>
      </c>
      <c r="W359" s="7">
        <f>(M$436-Tabell2[[#This Row],[ReisetidOslo-T]])*100/M$439</f>
        <v>0</v>
      </c>
      <c r="X359" s="7">
        <f>100-(N$436-Tabell2[[#This Row],[Beftettland-T]])*100/N$439</f>
        <v>6.4582640099458928</v>
      </c>
      <c r="Y359" s="7">
        <f>100-(O$436-Tabell2[[#This Row],[Beftettotal-T]])*100/O$439</f>
        <v>6.6713965994669593</v>
      </c>
      <c r="Z359" s="7">
        <f>100-(P$436-Tabell2[[#This Row],[Befvekst10-T]])*100/P$439</f>
        <v>44.551219327294142</v>
      </c>
      <c r="AA359" s="7">
        <f>100-(Q$436-Tabell2[[#This Row],[Kvinneandel-T]])*100/Q$439</f>
        <v>84.984596439579292</v>
      </c>
      <c r="AB359" s="7">
        <f>(R$436-Tabell2[[#This Row],[Eldreandel-T]])*100/R$439</f>
        <v>67.506056604886751</v>
      </c>
      <c r="AC359" s="7">
        <f>100-(S$436-Tabell2[[#This Row],[Sysselsettingsvekst10-T]])*100/S$439</f>
        <v>47.083551839253431</v>
      </c>
      <c r="AD359" s="7">
        <f>100-(T$436-Tabell2[[#This Row],[Yrkesaktivandel-T]])*100/T$439</f>
        <v>0</v>
      </c>
      <c r="AE359" s="7">
        <f>100-(U$436-Tabell2[[#This Row],[Inntekt-T]])*100/U$439</f>
        <v>0</v>
      </c>
      <c r="AF359" s="7">
        <v>12</v>
      </c>
      <c r="AG359" s="7">
        <v>0</v>
      </c>
      <c r="AH359" s="7">
        <v>0.667139659946696</v>
      </c>
      <c r="AI359" s="7">
        <v>8.9102438654588294</v>
      </c>
      <c r="AJ359" s="7">
        <v>4.2492298219789646</v>
      </c>
      <c r="AK359" s="7">
        <v>3.3753028302443377</v>
      </c>
      <c r="AL359" s="7">
        <v>4.7083551839253435</v>
      </c>
      <c r="AM359" s="7">
        <v>0</v>
      </c>
      <c r="AN359" s="7">
        <v>0</v>
      </c>
      <c r="AO35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33.910271361554166</v>
      </c>
    </row>
    <row r="360" spans="1:41" x14ac:dyDescent="0.3">
      <c r="A360" s="2" t="s">
        <v>357</v>
      </c>
      <c r="B360">
        <f>'Rådata-K'!N359</f>
        <v>5</v>
      </c>
      <c r="C360" s="7">
        <f>'Rådata-K'!M359</f>
        <v>275.21666666670001</v>
      </c>
      <c r="D360" s="24">
        <f>'Rådata-K'!O359</f>
        <v>3.1369093820582212</v>
      </c>
      <c r="E360" s="24">
        <f>'Rådata-K'!P359</f>
        <v>2.8236390072573689</v>
      </c>
      <c r="F360" s="24">
        <f>'Rådata-K'!Q359</f>
        <v>-1.2329370321444322E-2</v>
      </c>
      <c r="G360" s="24">
        <f>'Rådata-K'!R359</f>
        <v>0.10298707088720464</v>
      </c>
      <c r="H360" s="24">
        <f>'Rådata-K'!S359</f>
        <v>0.2050824788230049</v>
      </c>
      <c r="I360" s="24">
        <f>'Rådata-K'!T359</f>
        <v>0.14750830564784057</v>
      </c>
      <c r="J360" s="24">
        <f>'Rådata-K'!U359</f>
        <v>0.84675431388660638</v>
      </c>
      <c r="K360" s="24">
        <f>'Rådata-K'!L359</f>
        <v>352000</v>
      </c>
      <c r="L360" s="24">
        <f>Tabell2[[#This Row],[NIBR11]]</f>
        <v>5</v>
      </c>
      <c r="M360" s="24">
        <f>IF(Tabell2[[#This Row],[ReisetidOslo]]&lt;=C$434,C$434,IF(Tabell2[[#This Row],[ReisetidOslo]]&gt;=C$435,C$435,Tabell2[[#This Row],[ReisetidOslo]]))</f>
        <v>275.21666666670001</v>
      </c>
      <c r="N360" s="24">
        <f>IF(Tabell2[[#This Row],[Beftettland]]&lt;=D$434,D$434,IF(Tabell2[[#This Row],[Beftettland]]&gt;=D$435,D$435,Tabell2[[#This Row],[Beftettland]]))</f>
        <v>3.1369093820582212</v>
      </c>
      <c r="O360" s="24">
        <f>IF(Tabell2[[#This Row],[Beftettotal]]&lt;=E$434,E$434,IF(Tabell2[[#This Row],[Beftettotal]]&gt;=E$435,E$435,Tabell2[[#This Row],[Beftettotal]]))</f>
        <v>2.8236390072573689</v>
      </c>
      <c r="P360" s="24">
        <f>IF(Tabell2[[#This Row],[Befvekst10]]&lt;=F$434,F$434,IF(Tabell2[[#This Row],[Befvekst10]]&gt;=F$435,F$435,Tabell2[[#This Row],[Befvekst10]]))</f>
        <v>-1.2329370321444322E-2</v>
      </c>
      <c r="Q360" s="24">
        <f>IF(Tabell2[[#This Row],[Kvinneandel]]&lt;=G$434,G$434,IF(Tabell2[[#This Row],[Kvinneandel]]&gt;=G$435,G$435,Tabell2[[#This Row],[Kvinneandel]]))</f>
        <v>0.10298707088720464</v>
      </c>
      <c r="R360" s="24">
        <f>IF(Tabell2[[#This Row],[Eldreandel]]&lt;=H$434,H$434,IF(Tabell2[[#This Row],[Eldreandel]]&gt;=H$435,H$435,Tabell2[[#This Row],[Eldreandel]]))</f>
        <v>0.2050824788230049</v>
      </c>
      <c r="S360" s="24">
        <f>IF(Tabell2[[#This Row],[Sysselsettingsvekst10]]&lt;=I$434,I$434,IF(Tabell2[[#This Row],[Sysselsettingsvekst10]]&gt;=I$435,I$435,Tabell2[[#This Row],[Sysselsettingsvekst10]]))</f>
        <v>0.14750830564784057</v>
      </c>
      <c r="T360" s="24">
        <f>IF(Tabell2[[#This Row],[Yrkesaktivandel]]&lt;=J$434,J$434,IF(Tabell2[[#This Row],[Yrkesaktivandel]]&gt;=J$435,J$435,Tabell2[[#This Row],[Yrkesaktivandel]]))</f>
        <v>0.84675431388660638</v>
      </c>
      <c r="U360" s="24">
        <f>IF(Tabell2[[#This Row],[Inntekt]]&lt;=K$434,K$434,IF(Tabell2[[#This Row],[Inntekt]]&gt;=K$435,K$435,Tabell2[[#This Row],[Inntekt]]))</f>
        <v>352000</v>
      </c>
      <c r="V360" s="7">
        <f>IF(Tabell2[[#This Row],[NIBR11-T]]&lt;=L$437,100,IF(Tabell2[[#This Row],[NIBR11-T]]&gt;=L$436,0,100*(L$436-Tabell2[[#This Row],[NIBR11-T]])/L$439))</f>
        <v>60</v>
      </c>
      <c r="W360" s="7">
        <f>(M$436-Tabell2[[#This Row],[ReisetidOslo-T]])*100/M$439</f>
        <v>2.299085923212929</v>
      </c>
      <c r="X360" s="7">
        <f>100-(N$436-Tabell2[[#This Row],[Beftettland-T]])*100/N$439</f>
        <v>1.282917767980436</v>
      </c>
      <c r="Y360" s="7">
        <f>100-(O$436-Tabell2[[#This Row],[Beftettotal-T]])*100/O$439</f>
        <v>1.1524257273427168</v>
      </c>
      <c r="Z360" s="7">
        <f>100-(P$436-Tabell2[[#This Row],[Befvekst10-T]])*100/P$439</f>
        <v>23.773030140890114</v>
      </c>
      <c r="AA360" s="7">
        <f>100-(Q$436-Tabell2[[#This Row],[Kvinneandel-T]])*100/Q$439</f>
        <v>35.373933602642111</v>
      </c>
      <c r="AB360" s="7">
        <f>(R$436-Tabell2[[#This Row],[Eldreandel-T]])*100/R$439</f>
        <v>16.454839070404311</v>
      </c>
      <c r="AC360" s="7">
        <f>100-(S$436-Tabell2[[#This Row],[Sysselsettingsvekst10-T]])*100/S$439</f>
        <v>78.349935092552499</v>
      </c>
      <c r="AD360" s="7">
        <f>100-(T$436-Tabell2[[#This Row],[Yrkesaktivandel-T]])*100/T$439</f>
        <v>33.762448974507294</v>
      </c>
      <c r="AE360" s="7">
        <f>100-(U$436-Tabell2[[#This Row],[Inntekt-T]])*100/U$439</f>
        <v>8.5656246473310063</v>
      </c>
      <c r="AF360" s="7">
        <v>12</v>
      </c>
      <c r="AG360" s="7">
        <v>0.2299085923212929</v>
      </c>
      <c r="AH360" s="7">
        <v>0.11524257273427169</v>
      </c>
      <c r="AI360" s="7">
        <v>4.7546060281780234</v>
      </c>
      <c r="AJ360" s="7">
        <v>1.7686966801321056</v>
      </c>
      <c r="AK360" s="7">
        <v>0.82274195352021562</v>
      </c>
      <c r="AL360" s="7">
        <v>7.8349935092552503</v>
      </c>
      <c r="AM360" s="7">
        <v>3.3762448974507295</v>
      </c>
      <c r="AN360" s="7">
        <v>0.85656246473310071</v>
      </c>
      <c r="AO36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31.758996698324989</v>
      </c>
    </row>
    <row r="361" spans="1:41" x14ac:dyDescent="0.3">
      <c r="A361" s="2" t="s">
        <v>358</v>
      </c>
      <c r="B361">
        <f>'Rådata-K'!N360</f>
        <v>5</v>
      </c>
      <c r="C361" s="7">
        <f>'Rådata-K'!M360</f>
        <v>255.1666666667</v>
      </c>
      <c r="D361" s="24">
        <f>'Rådata-K'!O360</f>
        <v>6.1941134631990353</v>
      </c>
      <c r="E361" s="24">
        <f>'Rådata-K'!P360</f>
        <v>5.8384324417647804</v>
      </c>
      <c r="F361" s="24">
        <f>'Rådata-K'!Q360</f>
        <v>2.6976927627686775E-2</v>
      </c>
      <c r="G361" s="24">
        <f>'Rådata-K'!R360</f>
        <v>0.11294596566688429</v>
      </c>
      <c r="H361" s="24">
        <f>'Rådata-K'!S360</f>
        <v>0.16221821114482124</v>
      </c>
      <c r="I361" s="24">
        <f>'Rådata-K'!T360</f>
        <v>0.12995944277905136</v>
      </c>
      <c r="J361" s="24">
        <f>'Rådata-K'!U360</f>
        <v>0.84400984500764986</v>
      </c>
      <c r="K361" s="24">
        <f>'Rådata-K'!L360</f>
        <v>380400</v>
      </c>
      <c r="L361" s="24">
        <f>Tabell2[[#This Row],[NIBR11]]</f>
        <v>5</v>
      </c>
      <c r="M361" s="24">
        <f>IF(Tabell2[[#This Row],[ReisetidOslo]]&lt;=C$434,C$434,IF(Tabell2[[#This Row],[ReisetidOslo]]&gt;=C$435,C$435,Tabell2[[#This Row],[ReisetidOslo]]))</f>
        <v>255.1666666667</v>
      </c>
      <c r="N361" s="24">
        <f>IF(Tabell2[[#This Row],[Beftettland]]&lt;=D$434,D$434,IF(Tabell2[[#This Row],[Beftettland]]&gt;=D$435,D$435,Tabell2[[#This Row],[Beftettland]]))</f>
        <v>6.1941134631990353</v>
      </c>
      <c r="O361" s="24">
        <f>IF(Tabell2[[#This Row],[Beftettotal]]&lt;=E$434,E$434,IF(Tabell2[[#This Row],[Beftettotal]]&gt;=E$435,E$435,Tabell2[[#This Row],[Beftettotal]]))</f>
        <v>5.8384324417647804</v>
      </c>
      <c r="P361" s="24">
        <f>IF(Tabell2[[#This Row],[Befvekst10]]&lt;=F$434,F$434,IF(Tabell2[[#This Row],[Befvekst10]]&gt;=F$435,F$435,Tabell2[[#This Row],[Befvekst10]]))</f>
        <v>2.6976927627686775E-2</v>
      </c>
      <c r="Q361" s="24">
        <f>IF(Tabell2[[#This Row],[Kvinneandel]]&lt;=G$434,G$434,IF(Tabell2[[#This Row],[Kvinneandel]]&gt;=G$435,G$435,Tabell2[[#This Row],[Kvinneandel]]))</f>
        <v>0.11294596566688429</v>
      </c>
      <c r="R361" s="24">
        <f>IF(Tabell2[[#This Row],[Eldreandel]]&lt;=H$434,H$434,IF(Tabell2[[#This Row],[Eldreandel]]&gt;=H$435,H$435,Tabell2[[#This Row],[Eldreandel]]))</f>
        <v>0.16221821114482124</v>
      </c>
      <c r="S361" s="24">
        <f>IF(Tabell2[[#This Row],[Sysselsettingsvekst10]]&lt;=I$434,I$434,IF(Tabell2[[#This Row],[Sysselsettingsvekst10]]&gt;=I$435,I$435,Tabell2[[#This Row],[Sysselsettingsvekst10]]))</f>
        <v>0.12995944277905136</v>
      </c>
      <c r="T361" s="24">
        <f>IF(Tabell2[[#This Row],[Yrkesaktivandel]]&lt;=J$434,J$434,IF(Tabell2[[#This Row],[Yrkesaktivandel]]&gt;=J$435,J$435,Tabell2[[#This Row],[Yrkesaktivandel]]))</f>
        <v>0.84400984500764986</v>
      </c>
      <c r="U361" s="24">
        <f>IF(Tabell2[[#This Row],[Inntekt]]&lt;=K$434,K$434,IF(Tabell2[[#This Row],[Inntekt]]&gt;=K$435,K$435,Tabell2[[#This Row],[Inntekt]]))</f>
        <v>380400</v>
      </c>
      <c r="V361" s="7">
        <f>IF(Tabell2[[#This Row],[NIBR11-T]]&lt;=L$437,100,IF(Tabell2[[#This Row],[NIBR11-T]]&gt;=L$436,0,100*(L$436-Tabell2[[#This Row],[NIBR11-T]])/L$439))</f>
        <v>60</v>
      </c>
      <c r="W361" s="7">
        <f>(M$436-Tabell2[[#This Row],[ReisetidOslo-T]])*100/M$439</f>
        <v>11.096160877508193</v>
      </c>
      <c r="X361" s="7">
        <f>100-(N$436-Tabell2[[#This Row],[Beftettland-T]])*100/N$439</f>
        <v>3.5443430727150798</v>
      </c>
      <c r="Y361" s="7">
        <f>100-(O$436-Tabell2[[#This Row],[Beftettotal-T]])*100/O$439</f>
        <v>3.4600648890205008</v>
      </c>
      <c r="Z361" s="7">
        <f>100-(P$436-Tabell2[[#This Row],[Befvekst10-T]])*100/P$439</f>
        <v>39.682688638381833</v>
      </c>
      <c r="AA361" s="7">
        <f>100-(Q$436-Tabell2[[#This Row],[Kvinneandel-T]])*100/Q$439</f>
        <v>61.536480710891681</v>
      </c>
      <c r="AB361" s="7">
        <f>(R$436-Tabell2[[#This Row],[Eldreandel-T]])*100/R$439</f>
        <v>62.716307161516646</v>
      </c>
      <c r="AC361" s="7">
        <f>100-(S$436-Tabell2[[#This Row],[Sysselsettingsvekst10-T]])*100/S$439</f>
        <v>72.622840867052375</v>
      </c>
      <c r="AD361" s="7">
        <f>100-(T$436-Tabell2[[#This Row],[Yrkesaktivandel-T]])*100/T$439</f>
        <v>31.826792028318536</v>
      </c>
      <c r="AE361" s="7">
        <f>100-(U$436-Tabell2[[#This Row],[Inntekt-T]])*100/U$439</f>
        <v>40.616183275025392</v>
      </c>
      <c r="AF361" s="7">
        <v>12</v>
      </c>
      <c r="AG361" s="7">
        <v>1.1096160877508194</v>
      </c>
      <c r="AH361" s="7">
        <v>0.3460064889020501</v>
      </c>
      <c r="AI361" s="7">
        <v>7.9365377276763667</v>
      </c>
      <c r="AJ361" s="7">
        <v>3.0768240355445844</v>
      </c>
      <c r="AK361" s="7">
        <v>3.1358153580758326</v>
      </c>
      <c r="AL361" s="7">
        <v>7.2622840867052378</v>
      </c>
      <c r="AM361" s="7">
        <v>3.1826792028318538</v>
      </c>
      <c r="AN361" s="7">
        <v>4.061618327502539</v>
      </c>
      <c r="AO36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42.111381314989281</v>
      </c>
    </row>
    <row r="362" spans="1:41" x14ac:dyDescent="0.3">
      <c r="A362" s="2" t="s">
        <v>359</v>
      </c>
      <c r="B362">
        <f>'Rådata-K'!N361</f>
        <v>11</v>
      </c>
      <c r="C362" s="7">
        <f>'Rådata-K'!M361</f>
        <v>368.98333333300002</v>
      </c>
      <c r="D362" s="24">
        <f>'Rådata-K'!O361</f>
        <v>7.445696364269951</v>
      </c>
      <c r="E362" s="24">
        <f>'Rådata-K'!P361</f>
        <v>7.2516781054378159</v>
      </c>
      <c r="F362" s="24">
        <f>'Rådata-K'!Q361</f>
        <v>-2.4353120243531201E-2</v>
      </c>
      <c r="G362" s="24">
        <f>'Rådata-K'!R361</f>
        <v>9.5163806552262087E-2</v>
      </c>
      <c r="H362" s="24">
        <f>'Rådata-K'!S361</f>
        <v>0.2080083203328133</v>
      </c>
      <c r="I362" s="24">
        <f>'Rådata-K'!T361</f>
        <v>0.11664641555285549</v>
      </c>
      <c r="J362" s="24">
        <f>'Rådata-K'!U361</f>
        <v>0.90393852065321811</v>
      </c>
      <c r="K362" s="24">
        <f>'Rådata-K'!L361</f>
        <v>390800</v>
      </c>
      <c r="L362" s="24">
        <f>Tabell2[[#This Row],[NIBR11]]</f>
        <v>11</v>
      </c>
      <c r="M362" s="24">
        <f>IF(Tabell2[[#This Row],[ReisetidOslo]]&lt;=C$434,C$434,IF(Tabell2[[#This Row],[ReisetidOslo]]&gt;=C$435,C$435,Tabell2[[#This Row],[ReisetidOslo]]))</f>
        <v>280.45666666669001</v>
      </c>
      <c r="N362" s="24">
        <f>IF(Tabell2[[#This Row],[Beftettland]]&lt;=D$434,D$434,IF(Tabell2[[#This Row],[Beftettland]]&gt;=D$435,D$435,Tabell2[[#This Row],[Beftettland]]))</f>
        <v>7.445696364269951</v>
      </c>
      <c r="O362" s="24">
        <f>IF(Tabell2[[#This Row],[Beftettotal]]&lt;=E$434,E$434,IF(Tabell2[[#This Row],[Beftettotal]]&gt;=E$435,E$435,Tabell2[[#This Row],[Beftettotal]]))</f>
        <v>7.2516781054378159</v>
      </c>
      <c r="P362" s="24">
        <f>IF(Tabell2[[#This Row],[Befvekst10]]&lt;=F$434,F$434,IF(Tabell2[[#This Row],[Befvekst10]]&gt;=F$435,F$435,Tabell2[[#This Row],[Befvekst10]]))</f>
        <v>-2.4353120243531201E-2</v>
      </c>
      <c r="Q362" s="24">
        <f>IF(Tabell2[[#This Row],[Kvinneandel]]&lt;=G$434,G$434,IF(Tabell2[[#This Row],[Kvinneandel]]&gt;=G$435,G$435,Tabell2[[#This Row],[Kvinneandel]]))</f>
        <v>9.5163806552262087E-2</v>
      </c>
      <c r="R362" s="24">
        <f>IF(Tabell2[[#This Row],[Eldreandel]]&lt;=H$434,H$434,IF(Tabell2[[#This Row],[Eldreandel]]&gt;=H$435,H$435,Tabell2[[#This Row],[Eldreandel]]))</f>
        <v>0.2080083203328133</v>
      </c>
      <c r="S362" s="24">
        <f>IF(Tabell2[[#This Row],[Sysselsettingsvekst10]]&lt;=I$434,I$434,IF(Tabell2[[#This Row],[Sysselsettingsvekst10]]&gt;=I$435,I$435,Tabell2[[#This Row],[Sysselsettingsvekst10]]))</f>
        <v>0.11664641555285549</v>
      </c>
      <c r="T362" s="24">
        <f>IF(Tabell2[[#This Row],[Yrkesaktivandel]]&lt;=J$434,J$434,IF(Tabell2[[#This Row],[Yrkesaktivandel]]&gt;=J$435,J$435,Tabell2[[#This Row],[Yrkesaktivandel]]))</f>
        <v>0.90393852065321811</v>
      </c>
      <c r="U362" s="24">
        <f>IF(Tabell2[[#This Row],[Inntekt]]&lt;=K$434,K$434,IF(Tabell2[[#This Row],[Inntekt]]&gt;=K$435,K$435,Tabell2[[#This Row],[Inntekt]]))</f>
        <v>390800</v>
      </c>
      <c r="V362" s="7">
        <f>IF(Tabell2[[#This Row],[NIBR11-T]]&lt;=L$437,100,IF(Tabell2[[#This Row],[NIBR11-T]]&gt;=L$436,0,100*(L$436-Tabell2[[#This Row],[NIBR11-T]])/L$439))</f>
        <v>0</v>
      </c>
      <c r="W362" s="7">
        <f>(M$436-Tabell2[[#This Row],[ReisetidOslo-T]])*100/M$439</f>
        <v>0</v>
      </c>
      <c r="X362" s="7">
        <f>100-(N$436-Tabell2[[#This Row],[Beftettland-T]])*100/N$439</f>
        <v>4.4701436304582813</v>
      </c>
      <c r="Y362" s="7">
        <f>100-(O$436-Tabell2[[#This Row],[Beftettotal-T]])*100/O$439</f>
        <v>4.5418176224697362</v>
      </c>
      <c r="Z362" s="7">
        <f>100-(P$436-Tabell2[[#This Row],[Befvekst10-T]])*100/P$439</f>
        <v>18.906284476691184</v>
      </c>
      <c r="AA362" s="7">
        <f>100-(Q$436-Tabell2[[#This Row],[Kvinneandel-T]])*100/Q$439</f>
        <v>14.821801440261012</v>
      </c>
      <c r="AB362" s="7">
        <f>(R$436-Tabell2[[#This Row],[Eldreandel-T]])*100/R$439</f>
        <v>13.297110477865134</v>
      </c>
      <c r="AC362" s="7">
        <f>100-(S$436-Tabell2[[#This Row],[Sysselsettingsvekst10-T]])*100/S$439</f>
        <v>68.278117113658936</v>
      </c>
      <c r="AD362" s="7">
        <f>100-(T$436-Tabell2[[#This Row],[Yrkesaktivandel-T]])*100/T$439</f>
        <v>74.094116747752977</v>
      </c>
      <c r="AE362" s="7">
        <f>100-(U$436-Tabell2[[#This Row],[Inntekt-T]])*100/U$439</f>
        <v>52.353007561223336</v>
      </c>
      <c r="AF362" s="7">
        <v>0</v>
      </c>
      <c r="AG362" s="7">
        <v>0</v>
      </c>
      <c r="AH362" s="7">
        <v>0.45418176224697365</v>
      </c>
      <c r="AI362" s="7">
        <v>3.7812568953382368</v>
      </c>
      <c r="AJ362" s="7">
        <v>0.74109007201305066</v>
      </c>
      <c r="AK362" s="7">
        <v>0.66485552389325675</v>
      </c>
      <c r="AL362" s="7">
        <v>6.8278117113658938</v>
      </c>
      <c r="AM362" s="7">
        <v>7.4094116747752983</v>
      </c>
      <c r="AN362" s="7">
        <v>5.2353007561223341</v>
      </c>
      <c r="AO36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25.113908395755047</v>
      </c>
    </row>
    <row r="363" spans="1:41" x14ac:dyDescent="0.3">
      <c r="A363" s="2" t="s">
        <v>360</v>
      </c>
      <c r="B363">
        <f>'Rådata-K'!N362</f>
        <v>11</v>
      </c>
      <c r="C363" s="7">
        <f>'Rådata-K'!M362</f>
        <v>398.9</v>
      </c>
      <c r="D363" s="24">
        <f>'Rådata-K'!O362</f>
        <v>29.040097205346292</v>
      </c>
      <c r="E363" s="24">
        <f>'Rådata-K'!P362</f>
        <v>28.934624697336563</v>
      </c>
      <c r="F363" s="24">
        <f>'Rådata-K'!Q362</f>
        <v>5.5187637969094983E-2</v>
      </c>
      <c r="G363" s="24">
        <f>'Rådata-K'!R362</f>
        <v>0.12343096234309624</v>
      </c>
      <c r="H363" s="24">
        <f>'Rådata-K'!S362</f>
        <v>0.15690376569037656</v>
      </c>
      <c r="I363" s="24">
        <f>'Rådata-K'!T362</f>
        <v>9.5238095238095344E-2</v>
      </c>
      <c r="J363" s="24">
        <f>'Rådata-K'!U362</f>
        <v>0.87769784172661869</v>
      </c>
      <c r="K363" s="24">
        <f>'Rådata-K'!L362</f>
        <v>349400</v>
      </c>
      <c r="L363" s="24">
        <f>Tabell2[[#This Row],[NIBR11]]</f>
        <v>11</v>
      </c>
      <c r="M363" s="24">
        <f>IF(Tabell2[[#This Row],[ReisetidOslo]]&lt;=C$434,C$434,IF(Tabell2[[#This Row],[ReisetidOslo]]&gt;=C$435,C$435,Tabell2[[#This Row],[ReisetidOslo]]))</f>
        <v>280.45666666669001</v>
      </c>
      <c r="N363" s="24">
        <f>IF(Tabell2[[#This Row],[Beftettland]]&lt;=D$434,D$434,IF(Tabell2[[#This Row],[Beftettland]]&gt;=D$435,D$435,Tabell2[[#This Row],[Beftettland]]))</f>
        <v>29.040097205346292</v>
      </c>
      <c r="O363" s="24">
        <f>IF(Tabell2[[#This Row],[Beftettotal]]&lt;=E$434,E$434,IF(Tabell2[[#This Row],[Beftettotal]]&gt;=E$435,E$435,Tabell2[[#This Row],[Beftettotal]]))</f>
        <v>28.934624697336563</v>
      </c>
      <c r="P363" s="24">
        <f>IF(Tabell2[[#This Row],[Befvekst10]]&lt;=F$434,F$434,IF(Tabell2[[#This Row],[Befvekst10]]&gt;=F$435,F$435,Tabell2[[#This Row],[Befvekst10]]))</f>
        <v>5.5187637969094983E-2</v>
      </c>
      <c r="Q363" s="24">
        <f>IF(Tabell2[[#This Row],[Kvinneandel]]&lt;=G$434,G$434,IF(Tabell2[[#This Row],[Kvinneandel]]&gt;=G$435,G$435,Tabell2[[#This Row],[Kvinneandel]]))</f>
        <v>0.12343096234309624</v>
      </c>
      <c r="R363" s="24">
        <f>IF(Tabell2[[#This Row],[Eldreandel]]&lt;=H$434,H$434,IF(Tabell2[[#This Row],[Eldreandel]]&gt;=H$435,H$435,Tabell2[[#This Row],[Eldreandel]]))</f>
        <v>0.15690376569037656</v>
      </c>
      <c r="S363" s="24">
        <f>IF(Tabell2[[#This Row],[Sysselsettingsvekst10]]&lt;=I$434,I$434,IF(Tabell2[[#This Row],[Sysselsettingsvekst10]]&gt;=I$435,I$435,Tabell2[[#This Row],[Sysselsettingsvekst10]]))</f>
        <v>9.5238095238095344E-2</v>
      </c>
      <c r="T363" s="24">
        <f>IF(Tabell2[[#This Row],[Yrkesaktivandel]]&lt;=J$434,J$434,IF(Tabell2[[#This Row],[Yrkesaktivandel]]&gt;=J$435,J$435,Tabell2[[#This Row],[Yrkesaktivandel]]))</f>
        <v>0.87769784172661869</v>
      </c>
      <c r="U363" s="24">
        <f>IF(Tabell2[[#This Row],[Inntekt]]&lt;=K$434,K$434,IF(Tabell2[[#This Row],[Inntekt]]&gt;=K$435,K$435,Tabell2[[#This Row],[Inntekt]]))</f>
        <v>349400</v>
      </c>
      <c r="V363" s="7">
        <f>IF(Tabell2[[#This Row],[NIBR11-T]]&lt;=L$437,100,IF(Tabell2[[#This Row],[NIBR11-T]]&gt;=L$436,0,100*(L$436-Tabell2[[#This Row],[NIBR11-T]])/L$439))</f>
        <v>0</v>
      </c>
      <c r="W363" s="7">
        <f>(M$436-Tabell2[[#This Row],[ReisetidOslo-T]])*100/M$439</f>
        <v>0</v>
      </c>
      <c r="X363" s="7">
        <f>100-(N$436-Tabell2[[#This Row],[Beftettland-T]])*100/N$439</f>
        <v>20.443602780221752</v>
      </c>
      <c r="Y363" s="7">
        <f>100-(O$436-Tabell2[[#This Row],[Beftettotal-T]])*100/O$439</f>
        <v>21.138781156791808</v>
      </c>
      <c r="Z363" s="7">
        <f>100-(P$436-Tabell2[[#This Row],[Befvekst10-T]])*100/P$439</f>
        <v>51.10128542621247</v>
      </c>
      <c r="AA363" s="7">
        <f>100-(Q$436-Tabell2[[#This Row],[Kvinneandel-T]])*100/Q$439</f>
        <v>89.081125527398029</v>
      </c>
      <c r="AB363" s="7">
        <f>(R$436-Tabell2[[#This Row],[Eldreandel-T]])*100/R$439</f>
        <v>68.45194810745727</v>
      </c>
      <c r="AC363" s="7">
        <f>100-(S$436-Tabell2[[#This Row],[Sysselsettingsvekst10-T]])*100/S$439</f>
        <v>61.291483930127825</v>
      </c>
      <c r="AD363" s="7">
        <f>100-(T$436-Tabell2[[#This Row],[Yrkesaktivandel-T]])*100/T$439</f>
        <v>55.586728004364012</v>
      </c>
      <c r="AE363" s="7">
        <f>100-(U$436-Tabell2[[#This Row],[Inntekt-T]])*100/U$439</f>
        <v>5.6314185757815096</v>
      </c>
      <c r="AF363" s="7">
        <v>0</v>
      </c>
      <c r="AG363" s="7">
        <v>0</v>
      </c>
      <c r="AH363" s="7">
        <v>2.113878115679181</v>
      </c>
      <c r="AI363" s="7">
        <v>10.220257085242494</v>
      </c>
      <c r="AJ363" s="7">
        <v>4.4540562763699016</v>
      </c>
      <c r="AK363" s="7">
        <v>3.4225974053728638</v>
      </c>
      <c r="AL363" s="7">
        <v>6.129148393012783</v>
      </c>
      <c r="AM363" s="7">
        <v>5.5586728004364012</v>
      </c>
      <c r="AN363" s="7">
        <v>0.56314185757815094</v>
      </c>
      <c r="AO36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32.461751933691772</v>
      </c>
    </row>
    <row r="364" spans="1:41" x14ac:dyDescent="0.3">
      <c r="A364" s="2" t="s">
        <v>361</v>
      </c>
      <c r="B364">
        <f>'Rådata-K'!N363</f>
        <v>11</v>
      </c>
      <c r="C364" s="7">
        <f>'Rådata-K'!M363</f>
        <v>346.51666666699998</v>
      </c>
      <c r="D364" s="24">
        <f>'Rådata-K'!O363</f>
        <v>1.8479654890987525</v>
      </c>
      <c r="E364" s="24">
        <f>'Rådata-K'!P363</f>
        <v>1.7826765454315399</v>
      </c>
      <c r="F364" s="24">
        <f>'Rådata-K'!Q363</f>
        <v>-7.8488372093023284E-2</v>
      </c>
      <c r="G364" s="24">
        <f>'Rådata-K'!R363</f>
        <v>0.10015772870662461</v>
      </c>
      <c r="H364" s="24">
        <f>'Rådata-K'!S363</f>
        <v>0.18375394321766561</v>
      </c>
      <c r="I364" s="24">
        <f>'Rådata-K'!T363</f>
        <v>-0.12268907563025211</v>
      </c>
      <c r="J364" s="24">
        <f>'Rådata-K'!U363</f>
        <v>0.91855203619909498</v>
      </c>
      <c r="K364" s="24">
        <f>'Rådata-K'!L363</f>
        <v>356600</v>
      </c>
      <c r="L364" s="24">
        <f>Tabell2[[#This Row],[NIBR11]]</f>
        <v>11</v>
      </c>
      <c r="M364" s="24">
        <f>IF(Tabell2[[#This Row],[ReisetidOslo]]&lt;=C$434,C$434,IF(Tabell2[[#This Row],[ReisetidOslo]]&gt;=C$435,C$435,Tabell2[[#This Row],[ReisetidOslo]]))</f>
        <v>280.45666666669001</v>
      </c>
      <c r="N364" s="24">
        <f>IF(Tabell2[[#This Row],[Beftettland]]&lt;=D$434,D$434,IF(Tabell2[[#This Row],[Beftettland]]&gt;=D$435,D$435,Tabell2[[#This Row],[Beftettland]]))</f>
        <v>1.8479654890987525</v>
      </c>
      <c r="O364" s="24">
        <f>IF(Tabell2[[#This Row],[Beftettotal]]&lt;=E$434,E$434,IF(Tabell2[[#This Row],[Beftettotal]]&gt;=E$435,E$435,Tabell2[[#This Row],[Beftettotal]]))</f>
        <v>1.7826765454315399</v>
      </c>
      <c r="P364" s="24">
        <f>IF(Tabell2[[#This Row],[Befvekst10]]&lt;=F$434,F$434,IF(Tabell2[[#This Row],[Befvekst10]]&gt;=F$435,F$435,Tabell2[[#This Row],[Befvekst10]]))</f>
        <v>-7.1062862685144085E-2</v>
      </c>
      <c r="Q364" s="24">
        <f>IF(Tabell2[[#This Row],[Kvinneandel]]&lt;=G$434,G$434,IF(Tabell2[[#This Row],[Kvinneandel]]&gt;=G$435,G$435,Tabell2[[#This Row],[Kvinneandel]]))</f>
        <v>0.10015772870662461</v>
      </c>
      <c r="R364" s="24">
        <f>IF(Tabell2[[#This Row],[Eldreandel]]&lt;=H$434,H$434,IF(Tabell2[[#This Row],[Eldreandel]]&gt;=H$435,H$435,Tabell2[[#This Row],[Eldreandel]]))</f>
        <v>0.18375394321766561</v>
      </c>
      <c r="S364" s="24">
        <f>IF(Tabell2[[#This Row],[Sysselsettingsvekst10]]&lt;=I$434,I$434,IF(Tabell2[[#This Row],[Sysselsettingsvekst10]]&gt;=I$435,I$435,Tabell2[[#This Row],[Sysselsettingsvekst10]]))</f>
        <v>-9.2570207570207563E-2</v>
      </c>
      <c r="T364" s="24">
        <f>IF(Tabell2[[#This Row],[Yrkesaktivandel]]&lt;=J$434,J$434,IF(Tabell2[[#This Row],[Yrkesaktivandel]]&gt;=J$435,J$435,Tabell2[[#This Row],[Yrkesaktivandel]]))</f>
        <v>0.91855203619909498</v>
      </c>
      <c r="U364" s="24">
        <f>IF(Tabell2[[#This Row],[Inntekt]]&lt;=K$434,K$434,IF(Tabell2[[#This Row],[Inntekt]]&gt;=K$435,K$435,Tabell2[[#This Row],[Inntekt]]))</f>
        <v>356600</v>
      </c>
      <c r="V364" s="7">
        <f>IF(Tabell2[[#This Row],[NIBR11-T]]&lt;=L$437,100,IF(Tabell2[[#This Row],[NIBR11-T]]&gt;=L$436,0,100*(L$436-Tabell2[[#This Row],[NIBR11-T]])/L$439))</f>
        <v>0</v>
      </c>
      <c r="W364" s="7">
        <f>(M$436-Tabell2[[#This Row],[ReisetidOslo-T]])*100/M$439</f>
        <v>0</v>
      </c>
      <c r="X364" s="7">
        <f>100-(N$436-Tabell2[[#This Row],[Beftettland-T]])*100/N$439</f>
        <v>0.32948114466086054</v>
      </c>
      <c r="Y364" s="7">
        <f>100-(O$436-Tabell2[[#This Row],[Beftettotal-T]])*100/O$439</f>
        <v>0.35563291386154106</v>
      </c>
      <c r="Z364" s="7">
        <f>100-(P$436-Tabell2[[#This Row],[Befvekst10-T]])*100/P$439</f>
        <v>0</v>
      </c>
      <c r="AA364" s="7">
        <f>100-(Q$436-Tabell2[[#This Row],[Kvinneandel-T]])*100/Q$439</f>
        <v>27.941100971874633</v>
      </c>
      <c r="AB364" s="7">
        <f>(R$436-Tabell2[[#This Row],[Eldreandel-T]])*100/R$439</f>
        <v>39.473764221404743</v>
      </c>
      <c r="AC364" s="7">
        <f>100-(S$436-Tabell2[[#This Row],[Sysselsettingsvekst10-T]])*100/S$439</f>
        <v>0</v>
      </c>
      <c r="AD364" s="7">
        <f>100-(T$436-Tabell2[[#This Row],[Yrkesaktivandel-T]])*100/T$439</f>
        <v>84.400938986294435</v>
      </c>
      <c r="AE364" s="7">
        <f>100-(U$436-Tabell2[[#This Row],[Inntekt-T]])*100/U$439</f>
        <v>13.756912312380095</v>
      </c>
      <c r="AF364" s="7">
        <v>0</v>
      </c>
      <c r="AG364" s="7">
        <v>0</v>
      </c>
      <c r="AH364" s="7">
        <v>3.5563291386154106E-2</v>
      </c>
      <c r="AI364" s="7">
        <v>0</v>
      </c>
      <c r="AJ364" s="7">
        <v>1.3970550485937316</v>
      </c>
      <c r="AK364" s="7">
        <v>1.9736882110702372</v>
      </c>
      <c r="AL364" s="7">
        <v>0</v>
      </c>
      <c r="AM364" s="7">
        <v>8.4400938986294438</v>
      </c>
      <c r="AN364" s="7">
        <v>1.3756912312380096</v>
      </c>
      <c r="AO36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13.222091680917577</v>
      </c>
    </row>
    <row r="365" spans="1:41" x14ac:dyDescent="0.3">
      <c r="A365" s="2" t="s">
        <v>362</v>
      </c>
      <c r="B365">
        <f>'Rådata-K'!N364</f>
        <v>10</v>
      </c>
      <c r="C365" s="7">
        <f>'Rådata-K'!M364</f>
        <v>280.81666666670003</v>
      </c>
      <c r="D365" s="24">
        <f>'Rådata-K'!O364</f>
        <v>8.1080065154742513</v>
      </c>
      <c r="E365" s="24">
        <f>'Rådata-K'!P364</f>
        <v>7.4053305562866916</v>
      </c>
      <c r="F365" s="24">
        <f>'Rådata-K'!Q364</f>
        <v>-3.6336559940431834E-2</v>
      </c>
      <c r="G365" s="24">
        <f>'Rådata-K'!R364</f>
        <v>0.10168443826301962</v>
      </c>
      <c r="H365" s="24">
        <f>'Rådata-K'!S364</f>
        <v>0.17972492659558029</v>
      </c>
      <c r="I365" s="24">
        <f>'Rådata-K'!T364</f>
        <v>-2.2602739726027443E-2</v>
      </c>
      <c r="J365" s="24">
        <f>'Rådata-K'!U364</f>
        <v>0.85538116591928248</v>
      </c>
      <c r="K365" s="24">
        <f>'Rådata-K'!L364</f>
        <v>386200</v>
      </c>
      <c r="L365" s="24">
        <f>Tabell2[[#This Row],[NIBR11]]</f>
        <v>10</v>
      </c>
      <c r="M365" s="24">
        <f>IF(Tabell2[[#This Row],[ReisetidOslo]]&lt;=C$434,C$434,IF(Tabell2[[#This Row],[ReisetidOslo]]&gt;=C$435,C$435,Tabell2[[#This Row],[ReisetidOslo]]))</f>
        <v>280.45666666669001</v>
      </c>
      <c r="N365" s="24">
        <f>IF(Tabell2[[#This Row],[Beftettland]]&lt;=D$434,D$434,IF(Tabell2[[#This Row],[Beftettland]]&gt;=D$435,D$435,Tabell2[[#This Row],[Beftettland]]))</f>
        <v>8.1080065154742513</v>
      </c>
      <c r="O365" s="24">
        <f>IF(Tabell2[[#This Row],[Beftettotal]]&lt;=E$434,E$434,IF(Tabell2[[#This Row],[Beftettotal]]&gt;=E$435,E$435,Tabell2[[#This Row],[Beftettotal]]))</f>
        <v>7.4053305562866916</v>
      </c>
      <c r="P365" s="24">
        <f>IF(Tabell2[[#This Row],[Befvekst10]]&lt;=F$434,F$434,IF(Tabell2[[#This Row],[Befvekst10]]&gt;=F$435,F$435,Tabell2[[#This Row],[Befvekst10]]))</f>
        <v>-3.6336559940431834E-2</v>
      </c>
      <c r="Q365" s="24">
        <f>IF(Tabell2[[#This Row],[Kvinneandel]]&lt;=G$434,G$434,IF(Tabell2[[#This Row],[Kvinneandel]]&gt;=G$435,G$435,Tabell2[[#This Row],[Kvinneandel]]))</f>
        <v>0.10168443826301962</v>
      </c>
      <c r="R365" s="24">
        <f>IF(Tabell2[[#This Row],[Eldreandel]]&lt;=H$434,H$434,IF(Tabell2[[#This Row],[Eldreandel]]&gt;=H$435,H$435,Tabell2[[#This Row],[Eldreandel]]))</f>
        <v>0.17972492659558029</v>
      </c>
      <c r="S365" s="24">
        <f>IF(Tabell2[[#This Row],[Sysselsettingsvekst10]]&lt;=I$434,I$434,IF(Tabell2[[#This Row],[Sysselsettingsvekst10]]&gt;=I$435,I$435,Tabell2[[#This Row],[Sysselsettingsvekst10]]))</f>
        <v>-2.2602739726027443E-2</v>
      </c>
      <c r="T365" s="24">
        <f>IF(Tabell2[[#This Row],[Yrkesaktivandel]]&lt;=J$434,J$434,IF(Tabell2[[#This Row],[Yrkesaktivandel]]&gt;=J$435,J$435,Tabell2[[#This Row],[Yrkesaktivandel]]))</f>
        <v>0.85538116591928248</v>
      </c>
      <c r="U365" s="24">
        <f>IF(Tabell2[[#This Row],[Inntekt]]&lt;=K$434,K$434,IF(Tabell2[[#This Row],[Inntekt]]&gt;=K$435,K$435,Tabell2[[#This Row],[Inntekt]]))</f>
        <v>386200</v>
      </c>
      <c r="V365" s="7">
        <f>IF(Tabell2[[#This Row],[NIBR11-T]]&lt;=L$437,100,IF(Tabell2[[#This Row],[NIBR11-T]]&gt;=L$436,0,100*(L$436-Tabell2[[#This Row],[NIBR11-T]])/L$439))</f>
        <v>10</v>
      </c>
      <c r="W365" s="7">
        <f>(M$436-Tabell2[[#This Row],[ReisetidOslo-T]])*100/M$439</f>
        <v>0</v>
      </c>
      <c r="X365" s="7">
        <f>100-(N$436-Tabell2[[#This Row],[Beftettland-T]])*100/N$439</f>
        <v>4.9600569289375613</v>
      </c>
      <c r="Y365" s="7">
        <f>100-(O$436-Tabell2[[#This Row],[Beftettotal-T]])*100/O$439</f>
        <v>4.6594291340274197</v>
      </c>
      <c r="Z365" s="7">
        <f>100-(P$436-Tabell2[[#This Row],[Befvekst10-T]])*100/P$439</f>
        <v>14.055854821634114</v>
      </c>
      <c r="AA365" s="7">
        <f>100-(Q$436-Tabell2[[#This Row],[Kvinneandel-T]])*100/Q$439</f>
        <v>31.951848306136981</v>
      </c>
      <c r="AB365" s="7">
        <f>(R$436-Tabell2[[#This Row],[Eldreandel-T]])*100/R$439</f>
        <v>43.822099886451603</v>
      </c>
      <c r="AC365" s="7">
        <f>100-(S$436-Tabell2[[#This Row],[Sysselsettingsvekst10-T]])*100/S$439</f>
        <v>22.833974147460921</v>
      </c>
      <c r="AD365" s="7">
        <f>100-(T$436-Tabell2[[#This Row],[Yrkesaktivandel-T]])*100/T$439</f>
        <v>39.846914420200797</v>
      </c>
      <c r="AE365" s="7">
        <f>100-(U$436-Tabell2[[#This Row],[Inntekt-T]])*100/U$439</f>
        <v>47.161719896174247</v>
      </c>
      <c r="AF365" s="7">
        <v>2</v>
      </c>
      <c r="AG365" s="7">
        <v>0</v>
      </c>
      <c r="AH365" s="7">
        <v>0.46594291340274197</v>
      </c>
      <c r="AI365" s="7">
        <v>2.811170964326823</v>
      </c>
      <c r="AJ365" s="7">
        <v>1.597592415306849</v>
      </c>
      <c r="AK365" s="7">
        <v>2.1911049943225804</v>
      </c>
      <c r="AL365" s="7">
        <v>2.283397414746092</v>
      </c>
      <c r="AM365" s="7">
        <v>3.9846914420200799</v>
      </c>
      <c r="AN365" s="7">
        <v>4.7161719896174246</v>
      </c>
      <c r="AO36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20.050072133742592</v>
      </c>
    </row>
    <row r="366" spans="1:41" x14ac:dyDescent="0.3">
      <c r="A366" s="2" t="s">
        <v>363</v>
      </c>
      <c r="B366">
        <f>'Rådata-K'!N365</f>
        <v>8</v>
      </c>
      <c r="C366" s="7">
        <f>'Rådata-K'!M365</f>
        <v>258.45</v>
      </c>
      <c r="D366" s="24">
        <f>'Rådata-K'!O365</f>
        <v>3.2831407588345898</v>
      </c>
      <c r="E366" s="24">
        <f>'Rådata-K'!P365</f>
        <v>3.0736595053258715</v>
      </c>
      <c r="F366" s="24">
        <f>'Rådata-K'!Q365</f>
        <v>-3.0374940673943973E-2</v>
      </c>
      <c r="G366" s="24">
        <f>'Rådata-K'!R365</f>
        <v>9.8874204601076848E-2</v>
      </c>
      <c r="H366" s="24">
        <f>'Rådata-K'!S365</f>
        <v>0.21439060205580029</v>
      </c>
      <c r="I366" s="24">
        <f>'Rådata-K'!T365</f>
        <v>6.0686015831134643E-2</v>
      </c>
      <c r="J366" s="24">
        <f>'Rådata-K'!U365</f>
        <v>0.83603603603603605</v>
      </c>
      <c r="K366" s="24">
        <f>'Rådata-K'!L365</f>
        <v>358500</v>
      </c>
      <c r="L366" s="24">
        <f>Tabell2[[#This Row],[NIBR11]]</f>
        <v>8</v>
      </c>
      <c r="M366" s="24">
        <f>IF(Tabell2[[#This Row],[ReisetidOslo]]&lt;=C$434,C$434,IF(Tabell2[[#This Row],[ReisetidOslo]]&gt;=C$435,C$435,Tabell2[[#This Row],[ReisetidOslo]]))</f>
        <v>258.45</v>
      </c>
      <c r="N366" s="24">
        <f>IF(Tabell2[[#This Row],[Beftettland]]&lt;=D$434,D$434,IF(Tabell2[[#This Row],[Beftettland]]&gt;=D$435,D$435,Tabell2[[#This Row],[Beftettland]]))</f>
        <v>3.2831407588345898</v>
      </c>
      <c r="O366" s="24">
        <f>IF(Tabell2[[#This Row],[Beftettotal]]&lt;=E$434,E$434,IF(Tabell2[[#This Row],[Beftettotal]]&gt;=E$435,E$435,Tabell2[[#This Row],[Beftettotal]]))</f>
        <v>3.0736595053258715</v>
      </c>
      <c r="P366" s="24">
        <f>IF(Tabell2[[#This Row],[Befvekst10]]&lt;=F$434,F$434,IF(Tabell2[[#This Row],[Befvekst10]]&gt;=F$435,F$435,Tabell2[[#This Row],[Befvekst10]]))</f>
        <v>-3.0374940673943973E-2</v>
      </c>
      <c r="Q366" s="24">
        <f>IF(Tabell2[[#This Row],[Kvinneandel]]&lt;=G$434,G$434,IF(Tabell2[[#This Row],[Kvinneandel]]&gt;=G$435,G$435,Tabell2[[#This Row],[Kvinneandel]]))</f>
        <v>9.8874204601076848E-2</v>
      </c>
      <c r="R366" s="24">
        <f>IF(Tabell2[[#This Row],[Eldreandel]]&lt;=H$434,H$434,IF(Tabell2[[#This Row],[Eldreandel]]&gt;=H$435,H$435,Tabell2[[#This Row],[Eldreandel]]))</f>
        <v>0.21439060205580029</v>
      </c>
      <c r="S366" s="24">
        <f>IF(Tabell2[[#This Row],[Sysselsettingsvekst10]]&lt;=I$434,I$434,IF(Tabell2[[#This Row],[Sysselsettingsvekst10]]&gt;=I$435,I$435,Tabell2[[#This Row],[Sysselsettingsvekst10]]))</f>
        <v>6.0686015831134643E-2</v>
      </c>
      <c r="T366" s="24">
        <f>IF(Tabell2[[#This Row],[Yrkesaktivandel]]&lt;=J$434,J$434,IF(Tabell2[[#This Row],[Yrkesaktivandel]]&gt;=J$435,J$435,Tabell2[[#This Row],[Yrkesaktivandel]]))</f>
        <v>0.83603603603603605</v>
      </c>
      <c r="U366" s="24">
        <f>IF(Tabell2[[#This Row],[Inntekt]]&lt;=K$434,K$434,IF(Tabell2[[#This Row],[Inntekt]]&gt;=K$435,K$435,Tabell2[[#This Row],[Inntekt]]))</f>
        <v>358500</v>
      </c>
      <c r="V366" s="7">
        <f>IF(Tabell2[[#This Row],[NIBR11-T]]&lt;=L$437,100,IF(Tabell2[[#This Row],[NIBR11-T]]&gt;=L$436,0,100*(L$436-Tabell2[[#This Row],[NIBR11-T]])/L$439))</f>
        <v>30</v>
      </c>
      <c r="W366" s="7">
        <f>(M$436-Tabell2[[#This Row],[ReisetidOslo-T]])*100/M$439</f>
        <v>9.6555758683822024</v>
      </c>
      <c r="X366" s="7">
        <f>100-(N$436-Tabell2[[#This Row],[Beftettland-T]])*100/N$439</f>
        <v>1.3910856648598582</v>
      </c>
      <c r="Y366" s="7">
        <f>100-(O$436-Tabell2[[#This Row],[Beftettotal-T]])*100/O$439</f>
        <v>1.3438010587207287</v>
      </c>
      <c r="Z366" s="7">
        <f>100-(P$436-Tabell2[[#This Row],[Befvekst10-T]])*100/P$439</f>
        <v>16.468886105949849</v>
      </c>
      <c r="AA366" s="7">
        <f>100-(Q$436-Tabell2[[#This Row],[Kvinneandel-T]])*100/Q$439</f>
        <v>24.569214771762859</v>
      </c>
      <c r="AB366" s="7">
        <f>(R$436-Tabell2[[#This Row],[Eldreandel-T]])*100/R$439</f>
        <v>6.4090020773400624</v>
      </c>
      <c r="AC366" s="7">
        <f>100-(S$436-Tabell2[[#This Row],[Sysselsettingsvekst10-T]])*100/S$439</f>
        <v>50.015367868923484</v>
      </c>
      <c r="AD366" s="7">
        <f>100-(T$436-Tabell2[[#This Row],[Yrkesaktivandel-T]])*100/T$439</f>
        <v>26.202913819375254</v>
      </c>
      <c r="AE366" s="7">
        <f>100-(U$436-Tabell2[[#This Row],[Inntekt-T]])*100/U$439</f>
        <v>15.901139826204712</v>
      </c>
      <c r="AF366" s="7">
        <v>6</v>
      </c>
      <c r="AG366" s="7">
        <v>0.96555758683822024</v>
      </c>
      <c r="AH366" s="7">
        <v>0.13438010587207289</v>
      </c>
      <c r="AI366" s="7">
        <v>3.2937772211899699</v>
      </c>
      <c r="AJ366" s="7">
        <v>1.228460738588143</v>
      </c>
      <c r="AK366" s="7">
        <v>0.32045010386700312</v>
      </c>
      <c r="AL366" s="7">
        <v>5.0015367868923484</v>
      </c>
      <c r="AM366" s="7">
        <v>2.6202913819375255</v>
      </c>
      <c r="AN366" s="7">
        <v>1.5901139826204713</v>
      </c>
      <c r="AO36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21.154567907805756</v>
      </c>
    </row>
    <row r="367" spans="1:41" x14ac:dyDescent="0.3">
      <c r="A367" s="2" t="s">
        <v>364</v>
      </c>
      <c r="B367">
        <f>'Rådata-K'!N366</f>
        <v>11</v>
      </c>
      <c r="C367" s="7">
        <f>'Rådata-K'!M366</f>
        <v>272.98333333329998</v>
      </c>
      <c r="D367" s="24">
        <f>'Rådata-K'!O366</f>
        <v>0.87557369553067887</v>
      </c>
      <c r="E367" s="24">
        <f>'Rådata-K'!P366</f>
        <v>0.84631313586026835</v>
      </c>
      <c r="F367" s="24">
        <f>'Rådata-K'!Q366</f>
        <v>-0.10785159620362383</v>
      </c>
      <c r="G367" s="24">
        <f>'Rådata-K'!R366</f>
        <v>7.5435203094777567E-2</v>
      </c>
      <c r="H367" s="24">
        <f>'Rådata-K'!S366</f>
        <v>0.25822050290135395</v>
      </c>
      <c r="I367" s="24">
        <f>'Rådata-K'!T366</f>
        <v>2.5229357798165042E-2</v>
      </c>
      <c r="J367" s="24">
        <f>'Rådata-K'!U366</f>
        <v>0.89233576642335766</v>
      </c>
      <c r="K367" s="24">
        <f>'Rådata-K'!L366</f>
        <v>326300</v>
      </c>
      <c r="L367" s="24">
        <f>Tabell2[[#This Row],[NIBR11]]</f>
        <v>11</v>
      </c>
      <c r="M367" s="24">
        <f>IF(Tabell2[[#This Row],[ReisetidOslo]]&lt;=C$434,C$434,IF(Tabell2[[#This Row],[ReisetidOslo]]&gt;=C$435,C$435,Tabell2[[#This Row],[ReisetidOslo]]))</f>
        <v>272.98333333329998</v>
      </c>
      <c r="N367" s="24">
        <f>IF(Tabell2[[#This Row],[Beftettland]]&lt;=D$434,D$434,IF(Tabell2[[#This Row],[Beftettland]]&gt;=D$435,D$435,Tabell2[[#This Row],[Beftettland]]))</f>
        <v>1.4025423756281519</v>
      </c>
      <c r="O367" s="24">
        <f>IF(Tabell2[[#This Row],[Beftettotal]]&lt;=E$434,E$434,IF(Tabell2[[#This Row],[Beftettotal]]&gt;=E$435,E$435,Tabell2[[#This Row],[Beftettotal]]))</f>
        <v>1.3180632767674032</v>
      </c>
      <c r="P367" s="24">
        <f>IF(Tabell2[[#This Row],[Befvekst10]]&lt;=F$434,F$434,IF(Tabell2[[#This Row],[Befvekst10]]&gt;=F$435,F$435,Tabell2[[#This Row],[Befvekst10]]))</f>
        <v>-7.1062862685144085E-2</v>
      </c>
      <c r="Q367" s="24">
        <f>IF(Tabell2[[#This Row],[Kvinneandel]]&lt;=G$434,G$434,IF(Tabell2[[#This Row],[Kvinneandel]]&gt;=G$435,G$435,Tabell2[[#This Row],[Kvinneandel]]))</f>
        <v>8.9521819157910881E-2</v>
      </c>
      <c r="R367" s="24">
        <f>IF(Tabell2[[#This Row],[Eldreandel]]&lt;=H$434,H$434,IF(Tabell2[[#This Row],[Eldreandel]]&gt;=H$435,H$435,Tabell2[[#This Row],[Eldreandel]]))</f>
        <v>0.22032896051974013</v>
      </c>
      <c r="S367" s="24">
        <f>IF(Tabell2[[#This Row],[Sysselsettingsvekst10]]&lt;=I$434,I$434,IF(Tabell2[[#This Row],[Sysselsettingsvekst10]]&gt;=I$435,I$435,Tabell2[[#This Row],[Sysselsettingsvekst10]]))</f>
        <v>2.5229357798165042E-2</v>
      </c>
      <c r="T367" s="24">
        <f>IF(Tabell2[[#This Row],[Yrkesaktivandel]]&lt;=J$434,J$434,IF(Tabell2[[#This Row],[Yrkesaktivandel]]&gt;=J$435,J$435,Tabell2[[#This Row],[Yrkesaktivandel]]))</f>
        <v>0.89233576642335766</v>
      </c>
      <c r="U367" s="24">
        <f>IF(Tabell2[[#This Row],[Inntekt]]&lt;=K$434,K$434,IF(Tabell2[[#This Row],[Inntekt]]&gt;=K$435,K$435,Tabell2[[#This Row],[Inntekt]]))</f>
        <v>344410</v>
      </c>
      <c r="V367" s="7">
        <f>IF(Tabell2[[#This Row],[NIBR11-T]]&lt;=L$437,100,IF(Tabell2[[#This Row],[NIBR11-T]]&gt;=L$436,0,100*(L$436-Tabell2[[#This Row],[NIBR11-T]])/L$439))</f>
        <v>0</v>
      </c>
      <c r="W367" s="7">
        <f>(M$436-Tabell2[[#This Row],[ReisetidOslo-T]])*100/M$439</f>
        <v>3.2789762340281965</v>
      </c>
      <c r="X367" s="7">
        <f>100-(N$436-Tabell2[[#This Row],[Beftettland-T]])*100/N$439</f>
        <v>0</v>
      </c>
      <c r="Y367" s="7">
        <f>100-(O$436-Tabell2[[#This Row],[Beftettotal-T]])*100/O$439</f>
        <v>0</v>
      </c>
      <c r="Z367" s="7">
        <f>100-(P$436-Tabell2[[#This Row],[Befvekst10-T]])*100/P$439</f>
        <v>0</v>
      </c>
      <c r="AA367" s="7">
        <f>100-(Q$436-Tabell2[[#This Row],[Kvinneandel-T]])*100/Q$439</f>
        <v>0</v>
      </c>
      <c r="AB367" s="7">
        <f>(R$436-Tabell2[[#This Row],[Eldreandel-T]])*100/R$439</f>
        <v>0</v>
      </c>
      <c r="AC367" s="7">
        <f>100-(S$436-Tabell2[[#This Row],[Sysselsettingsvekst10-T]])*100/S$439</f>
        <v>38.444041396408672</v>
      </c>
      <c r="AD367" s="7">
        <f>100-(T$436-Tabell2[[#This Row],[Yrkesaktivandel-T]])*100/T$439</f>
        <v>65.91076586621935</v>
      </c>
      <c r="AE367" s="7">
        <f>100-(U$436-Tabell2[[#This Row],[Inntekt-T]])*100/U$439</f>
        <v>0</v>
      </c>
      <c r="AF367" s="7">
        <v>0</v>
      </c>
      <c r="AG367" s="7">
        <v>0.32789762340281969</v>
      </c>
      <c r="AH367" s="7">
        <v>0</v>
      </c>
      <c r="AI367" s="7">
        <v>0</v>
      </c>
      <c r="AJ367" s="7">
        <v>0</v>
      </c>
      <c r="AK367" s="7">
        <v>0</v>
      </c>
      <c r="AL367" s="7">
        <v>3.8444041396408672</v>
      </c>
      <c r="AM367" s="7">
        <v>6.5910765866219352</v>
      </c>
      <c r="AN367" s="7">
        <v>0</v>
      </c>
      <c r="AO36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10.763378349665622</v>
      </c>
    </row>
    <row r="368" spans="1:41" x14ac:dyDescent="0.3">
      <c r="A368" s="2" t="s">
        <v>365</v>
      </c>
      <c r="B368">
        <f>'Rådata-K'!N367</f>
        <v>6</v>
      </c>
      <c r="C368" s="7">
        <f>'Rådata-K'!M367</f>
        <v>256.85000000000002</v>
      </c>
      <c r="D368" s="24">
        <f>'Rådata-K'!O367</f>
        <v>2.2535697503811889</v>
      </c>
      <c r="E368" s="24">
        <f>'Rådata-K'!P367</f>
        <v>2.120775933254218</v>
      </c>
      <c r="F368" s="24">
        <f>'Rådata-K'!Q367</f>
        <v>-1.0734582193222431E-2</v>
      </c>
      <c r="G368" s="24">
        <f>'Rådata-K'!R367</f>
        <v>0.10340425531914893</v>
      </c>
      <c r="H368" s="24">
        <f>'Rådata-K'!S367</f>
        <v>0.19148936170212766</v>
      </c>
      <c r="I368" s="24">
        <f>'Rådata-K'!T367</f>
        <v>1.6715830875122961E-2</v>
      </c>
      <c r="J368" s="24">
        <f>'Rådata-K'!U367</f>
        <v>0.85196489889355209</v>
      </c>
      <c r="K368" s="24">
        <f>'Rådata-K'!L367</f>
        <v>350000</v>
      </c>
      <c r="L368" s="24">
        <f>Tabell2[[#This Row],[NIBR11]]</f>
        <v>6</v>
      </c>
      <c r="M368" s="24">
        <f>IF(Tabell2[[#This Row],[ReisetidOslo]]&lt;=C$434,C$434,IF(Tabell2[[#This Row],[ReisetidOslo]]&gt;=C$435,C$435,Tabell2[[#This Row],[ReisetidOslo]]))</f>
        <v>256.85000000000002</v>
      </c>
      <c r="N368" s="24">
        <f>IF(Tabell2[[#This Row],[Beftettland]]&lt;=D$434,D$434,IF(Tabell2[[#This Row],[Beftettland]]&gt;=D$435,D$435,Tabell2[[#This Row],[Beftettland]]))</f>
        <v>2.2535697503811889</v>
      </c>
      <c r="O368" s="24">
        <f>IF(Tabell2[[#This Row],[Beftettotal]]&lt;=E$434,E$434,IF(Tabell2[[#This Row],[Beftettotal]]&gt;=E$435,E$435,Tabell2[[#This Row],[Beftettotal]]))</f>
        <v>2.120775933254218</v>
      </c>
      <c r="P368" s="24">
        <f>IF(Tabell2[[#This Row],[Befvekst10]]&lt;=F$434,F$434,IF(Tabell2[[#This Row],[Befvekst10]]&gt;=F$435,F$435,Tabell2[[#This Row],[Befvekst10]]))</f>
        <v>-1.0734582193222431E-2</v>
      </c>
      <c r="Q368" s="24">
        <f>IF(Tabell2[[#This Row],[Kvinneandel]]&lt;=G$434,G$434,IF(Tabell2[[#This Row],[Kvinneandel]]&gt;=G$435,G$435,Tabell2[[#This Row],[Kvinneandel]]))</f>
        <v>0.10340425531914893</v>
      </c>
      <c r="R368" s="24">
        <f>IF(Tabell2[[#This Row],[Eldreandel]]&lt;=H$434,H$434,IF(Tabell2[[#This Row],[Eldreandel]]&gt;=H$435,H$435,Tabell2[[#This Row],[Eldreandel]]))</f>
        <v>0.19148936170212766</v>
      </c>
      <c r="S368" s="24">
        <f>IF(Tabell2[[#This Row],[Sysselsettingsvekst10]]&lt;=I$434,I$434,IF(Tabell2[[#This Row],[Sysselsettingsvekst10]]&gt;=I$435,I$435,Tabell2[[#This Row],[Sysselsettingsvekst10]]))</f>
        <v>1.6715830875122961E-2</v>
      </c>
      <c r="T368" s="24">
        <f>IF(Tabell2[[#This Row],[Yrkesaktivandel]]&lt;=J$434,J$434,IF(Tabell2[[#This Row],[Yrkesaktivandel]]&gt;=J$435,J$435,Tabell2[[#This Row],[Yrkesaktivandel]]))</f>
        <v>0.85196489889355209</v>
      </c>
      <c r="U368" s="24">
        <f>IF(Tabell2[[#This Row],[Inntekt]]&lt;=K$434,K$434,IF(Tabell2[[#This Row],[Inntekt]]&gt;=K$435,K$435,Tabell2[[#This Row],[Inntekt]]))</f>
        <v>350000</v>
      </c>
      <c r="V368" s="7">
        <f>IF(Tabell2[[#This Row],[NIBR11-T]]&lt;=L$437,100,IF(Tabell2[[#This Row],[NIBR11-T]]&gt;=L$436,0,100*(L$436-Tabell2[[#This Row],[NIBR11-T]])/L$439))</f>
        <v>50</v>
      </c>
      <c r="W368" s="7">
        <f>(M$436-Tabell2[[#This Row],[ReisetidOslo-T]])*100/M$439</f>
        <v>10.357586837303504</v>
      </c>
      <c r="X368" s="7">
        <f>100-(N$436-Tabell2[[#This Row],[Beftettland-T]])*100/N$439</f>
        <v>0.62950813527969274</v>
      </c>
      <c r="Y368" s="7">
        <f>100-(O$436-Tabell2[[#This Row],[Beftettotal-T]])*100/O$439</f>
        <v>0.61442722426056662</v>
      </c>
      <c r="Z368" s="7">
        <f>100-(P$436-Tabell2[[#This Row],[Befvekst10-T]])*100/P$439</f>
        <v>24.418538260955273</v>
      </c>
      <c r="AA368" s="7">
        <f>100-(Q$436-Tabell2[[#This Row],[Kvinneandel-T]])*100/Q$439</f>
        <v>36.46989932926482</v>
      </c>
      <c r="AB368" s="7">
        <f>(R$436-Tabell2[[#This Row],[Eldreandel-T]])*100/R$439</f>
        <v>31.125276430197825</v>
      </c>
      <c r="AC368" s="7">
        <f>100-(S$436-Tabell2[[#This Row],[Sysselsettingsvekst10-T]])*100/S$439</f>
        <v>35.665640810333656</v>
      </c>
      <c r="AD368" s="7">
        <f>100-(T$436-Tabell2[[#This Row],[Yrkesaktivandel-T]])*100/T$439</f>
        <v>37.437442391170222</v>
      </c>
      <c r="AE368" s="7">
        <f>100-(U$436-Tabell2[[#This Row],[Inntekt-T]])*100/U$439</f>
        <v>6.3085430538314</v>
      </c>
      <c r="AF368" s="7">
        <v>10</v>
      </c>
      <c r="AG368" s="7">
        <v>1.0357586837303505</v>
      </c>
      <c r="AH368" s="7">
        <v>6.1442722426056667E-2</v>
      </c>
      <c r="AI368" s="7">
        <v>4.8837076521910552</v>
      </c>
      <c r="AJ368" s="7">
        <v>1.8234949664632412</v>
      </c>
      <c r="AK368" s="7">
        <v>1.5562638215098914</v>
      </c>
      <c r="AL368" s="7">
        <v>3.5665640810333659</v>
      </c>
      <c r="AM368" s="7">
        <v>3.7437442391170226</v>
      </c>
      <c r="AN368" s="7">
        <v>0.63085430538314002</v>
      </c>
      <c r="AO36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27.301830471854117</v>
      </c>
    </row>
    <row r="369" spans="1:41" x14ac:dyDescent="0.3">
      <c r="A369" s="2" t="s">
        <v>366</v>
      </c>
      <c r="B369">
        <f>'Rådata-K'!N368</f>
        <v>5</v>
      </c>
      <c r="C369" s="7">
        <f>'Rådata-K'!M368</f>
        <v>231.1666666667</v>
      </c>
      <c r="D369" s="24">
        <f>'Rådata-K'!O368</f>
        <v>8.6740546057206842</v>
      </c>
      <c r="E369" s="24">
        <f>'Rådata-K'!P368</f>
        <v>7.9397491753540388</v>
      </c>
      <c r="F369" s="24">
        <f>'Rådata-K'!Q368</f>
        <v>5.5491571563186515E-3</v>
      </c>
      <c r="G369" s="24">
        <f>'Rådata-K'!R368</f>
        <v>0.10714285714285714</v>
      </c>
      <c r="H369" s="24">
        <f>'Rådata-K'!S368</f>
        <v>0.18231986672219908</v>
      </c>
      <c r="I369" s="24">
        <f>'Rådata-K'!T368</f>
        <v>0.12282205084261633</v>
      </c>
      <c r="J369" s="24">
        <f>'Rådata-K'!U368</f>
        <v>0.84878405558603032</v>
      </c>
      <c r="K369" s="24">
        <f>'Rådata-K'!L368</f>
        <v>378000</v>
      </c>
      <c r="L369" s="24">
        <f>Tabell2[[#This Row],[NIBR11]]</f>
        <v>5</v>
      </c>
      <c r="M369" s="24">
        <f>IF(Tabell2[[#This Row],[ReisetidOslo]]&lt;=C$434,C$434,IF(Tabell2[[#This Row],[ReisetidOslo]]&gt;=C$435,C$435,Tabell2[[#This Row],[ReisetidOslo]]))</f>
        <v>231.1666666667</v>
      </c>
      <c r="N369" s="24">
        <f>IF(Tabell2[[#This Row],[Beftettland]]&lt;=D$434,D$434,IF(Tabell2[[#This Row],[Beftettland]]&gt;=D$435,D$435,Tabell2[[#This Row],[Beftettland]]))</f>
        <v>8.6740546057206842</v>
      </c>
      <c r="O369" s="24">
        <f>IF(Tabell2[[#This Row],[Beftettotal]]&lt;=E$434,E$434,IF(Tabell2[[#This Row],[Beftettotal]]&gt;=E$435,E$435,Tabell2[[#This Row],[Beftettotal]]))</f>
        <v>7.9397491753540388</v>
      </c>
      <c r="P369" s="24">
        <f>IF(Tabell2[[#This Row],[Befvekst10]]&lt;=F$434,F$434,IF(Tabell2[[#This Row],[Befvekst10]]&gt;=F$435,F$435,Tabell2[[#This Row],[Befvekst10]]))</f>
        <v>5.5491571563186515E-3</v>
      </c>
      <c r="Q369" s="24">
        <f>IF(Tabell2[[#This Row],[Kvinneandel]]&lt;=G$434,G$434,IF(Tabell2[[#This Row],[Kvinneandel]]&gt;=G$435,G$435,Tabell2[[#This Row],[Kvinneandel]]))</f>
        <v>0.10714285714285714</v>
      </c>
      <c r="R369" s="24">
        <f>IF(Tabell2[[#This Row],[Eldreandel]]&lt;=H$434,H$434,IF(Tabell2[[#This Row],[Eldreandel]]&gt;=H$435,H$435,Tabell2[[#This Row],[Eldreandel]]))</f>
        <v>0.18231986672219908</v>
      </c>
      <c r="S369" s="24">
        <f>IF(Tabell2[[#This Row],[Sysselsettingsvekst10]]&lt;=I$434,I$434,IF(Tabell2[[#This Row],[Sysselsettingsvekst10]]&gt;=I$435,I$435,Tabell2[[#This Row],[Sysselsettingsvekst10]]))</f>
        <v>0.12282205084261633</v>
      </c>
      <c r="T369" s="24">
        <f>IF(Tabell2[[#This Row],[Yrkesaktivandel]]&lt;=J$434,J$434,IF(Tabell2[[#This Row],[Yrkesaktivandel]]&gt;=J$435,J$435,Tabell2[[#This Row],[Yrkesaktivandel]]))</f>
        <v>0.84878405558603032</v>
      </c>
      <c r="U369" s="24">
        <f>IF(Tabell2[[#This Row],[Inntekt]]&lt;=K$434,K$434,IF(Tabell2[[#This Row],[Inntekt]]&gt;=K$435,K$435,Tabell2[[#This Row],[Inntekt]]))</f>
        <v>378000</v>
      </c>
      <c r="V369" s="7">
        <f>IF(Tabell2[[#This Row],[NIBR11-T]]&lt;=L$437,100,IF(Tabell2[[#This Row],[NIBR11-T]]&gt;=L$436,0,100*(L$436-Tabell2[[#This Row],[NIBR11-T]])/L$439))</f>
        <v>60</v>
      </c>
      <c r="W369" s="7">
        <f>(M$436-Tabell2[[#This Row],[ReisetidOslo-T]])*100/M$439</f>
        <v>21.626325411327954</v>
      </c>
      <c r="X369" s="7">
        <f>100-(N$436-Tabell2[[#This Row],[Beftettland-T]])*100/N$439</f>
        <v>5.3787648205292555</v>
      </c>
      <c r="Y369" s="7">
        <f>100-(O$436-Tabell2[[#This Row],[Beftettotal-T]])*100/O$439</f>
        <v>5.0684937551632601</v>
      </c>
      <c r="Z369" s="7">
        <f>100-(P$436-Tabell2[[#This Row],[Befvekst10-T]])*100/P$439</f>
        <v>31.009561726168002</v>
      </c>
      <c r="AA369" s="7">
        <f>100-(Q$436-Tabell2[[#This Row],[Kvinneandel-T]])*100/Q$439</f>
        <v>46.291405479859982</v>
      </c>
      <c r="AB369" s="7">
        <f>(R$436-Tabell2[[#This Row],[Eldreandel-T]])*100/R$439</f>
        <v>41.021498211247412</v>
      </c>
      <c r="AC369" s="7">
        <f>100-(S$436-Tabell2[[#This Row],[Sysselsettingsvekst10-T]])*100/S$439</f>
        <v>70.29354372398862</v>
      </c>
      <c r="AD369" s="7">
        <f>100-(T$436-Tabell2[[#This Row],[Yrkesaktivandel-T]])*100/T$439</f>
        <v>35.194013256246478</v>
      </c>
      <c r="AE369" s="7">
        <f>100-(U$436-Tabell2[[#This Row],[Inntekt-T]])*100/U$439</f>
        <v>37.907685362825866</v>
      </c>
      <c r="AF369" s="7">
        <v>12</v>
      </c>
      <c r="AG369" s="7">
        <v>2.1626325411327953</v>
      </c>
      <c r="AH369" s="7">
        <v>0.50684937551632603</v>
      </c>
      <c r="AI369" s="7">
        <v>6.2019123452336009</v>
      </c>
      <c r="AJ369" s="7">
        <v>2.3145702739929992</v>
      </c>
      <c r="AK369" s="7">
        <v>2.0510749105623707</v>
      </c>
      <c r="AL369" s="7">
        <v>7.0293543723988625</v>
      </c>
      <c r="AM369" s="7">
        <v>3.5194013256246479</v>
      </c>
      <c r="AN369" s="7">
        <v>3.7907685362825867</v>
      </c>
      <c r="AO36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39.576563680744187</v>
      </c>
    </row>
    <row r="370" spans="1:41" x14ac:dyDescent="0.3">
      <c r="A370" s="2" t="s">
        <v>367</v>
      </c>
      <c r="B370">
        <f>'Rådata-K'!N369</f>
        <v>6</v>
      </c>
      <c r="C370" s="7">
        <f>'Rådata-K'!M369</f>
        <v>244.36666666669998</v>
      </c>
      <c r="D370" s="24">
        <f>'Rådata-K'!O369</f>
        <v>1.3328806654218299</v>
      </c>
      <c r="E370" s="24">
        <f>'Rådata-K'!P369</f>
        <v>1.1985736790045061</v>
      </c>
      <c r="F370" s="24">
        <f>'Rådata-K'!Q369</f>
        <v>-7.361963190184051E-2</v>
      </c>
      <c r="G370" s="24">
        <f>'Rådata-K'!R369</f>
        <v>9.2205807437595516E-2</v>
      </c>
      <c r="H370" s="24">
        <f>'Rådata-K'!S369</f>
        <v>0.22312786551197147</v>
      </c>
      <c r="I370" s="24">
        <f>'Rådata-K'!T369</f>
        <v>2.0070838252656431E-2</v>
      </c>
      <c r="J370" s="24">
        <f>'Rådata-K'!U369</f>
        <v>0.86801541425818884</v>
      </c>
      <c r="K370" s="24">
        <f>'Rådata-K'!L369</f>
        <v>355600</v>
      </c>
      <c r="L370" s="24">
        <f>Tabell2[[#This Row],[NIBR11]]</f>
        <v>6</v>
      </c>
      <c r="M370" s="24">
        <f>IF(Tabell2[[#This Row],[ReisetidOslo]]&lt;=C$434,C$434,IF(Tabell2[[#This Row],[ReisetidOslo]]&gt;=C$435,C$435,Tabell2[[#This Row],[ReisetidOslo]]))</f>
        <v>244.36666666669998</v>
      </c>
      <c r="N370" s="24">
        <f>IF(Tabell2[[#This Row],[Beftettland]]&lt;=D$434,D$434,IF(Tabell2[[#This Row],[Beftettland]]&gt;=D$435,D$435,Tabell2[[#This Row],[Beftettland]]))</f>
        <v>1.4025423756281519</v>
      </c>
      <c r="O370" s="24">
        <f>IF(Tabell2[[#This Row],[Beftettotal]]&lt;=E$434,E$434,IF(Tabell2[[#This Row],[Beftettotal]]&gt;=E$435,E$435,Tabell2[[#This Row],[Beftettotal]]))</f>
        <v>1.3180632767674032</v>
      </c>
      <c r="P370" s="24">
        <f>IF(Tabell2[[#This Row],[Befvekst10]]&lt;=F$434,F$434,IF(Tabell2[[#This Row],[Befvekst10]]&gt;=F$435,F$435,Tabell2[[#This Row],[Befvekst10]]))</f>
        <v>-7.1062862685144085E-2</v>
      </c>
      <c r="Q370" s="24">
        <f>IF(Tabell2[[#This Row],[Kvinneandel]]&lt;=G$434,G$434,IF(Tabell2[[#This Row],[Kvinneandel]]&gt;=G$435,G$435,Tabell2[[#This Row],[Kvinneandel]]))</f>
        <v>9.2205807437595516E-2</v>
      </c>
      <c r="R370" s="24">
        <f>IF(Tabell2[[#This Row],[Eldreandel]]&lt;=H$434,H$434,IF(Tabell2[[#This Row],[Eldreandel]]&gt;=H$435,H$435,Tabell2[[#This Row],[Eldreandel]]))</f>
        <v>0.22032896051974013</v>
      </c>
      <c r="S370" s="24">
        <f>IF(Tabell2[[#This Row],[Sysselsettingsvekst10]]&lt;=I$434,I$434,IF(Tabell2[[#This Row],[Sysselsettingsvekst10]]&gt;=I$435,I$435,Tabell2[[#This Row],[Sysselsettingsvekst10]]))</f>
        <v>2.0070838252656431E-2</v>
      </c>
      <c r="T370" s="24">
        <f>IF(Tabell2[[#This Row],[Yrkesaktivandel]]&lt;=J$434,J$434,IF(Tabell2[[#This Row],[Yrkesaktivandel]]&gt;=J$435,J$435,Tabell2[[#This Row],[Yrkesaktivandel]]))</f>
        <v>0.86801541425818884</v>
      </c>
      <c r="U370" s="24">
        <f>IF(Tabell2[[#This Row],[Inntekt]]&lt;=K$434,K$434,IF(Tabell2[[#This Row],[Inntekt]]&gt;=K$435,K$435,Tabell2[[#This Row],[Inntekt]]))</f>
        <v>355600</v>
      </c>
      <c r="V370" s="7">
        <f>IF(Tabell2[[#This Row],[NIBR11-T]]&lt;=L$437,100,IF(Tabell2[[#This Row],[NIBR11-T]]&gt;=L$436,0,100*(L$436-Tabell2[[#This Row],[NIBR11-T]])/L$439))</f>
        <v>50</v>
      </c>
      <c r="W370" s="7">
        <f>(M$436-Tabell2[[#This Row],[ReisetidOslo-T]])*100/M$439</f>
        <v>15.834734917727092</v>
      </c>
      <c r="X370" s="7">
        <f>100-(N$436-Tabell2[[#This Row],[Beftettland-T]])*100/N$439</f>
        <v>0</v>
      </c>
      <c r="Y370" s="7">
        <f>100-(O$436-Tabell2[[#This Row],[Beftettotal-T]])*100/O$439</f>
        <v>0</v>
      </c>
      <c r="Z370" s="7">
        <f>100-(P$436-Tabell2[[#This Row],[Befvekst10-T]])*100/P$439</f>
        <v>0</v>
      </c>
      <c r="AA370" s="7">
        <f>100-(Q$436-Tabell2[[#This Row],[Kvinneandel-T]])*100/Q$439</f>
        <v>7.0509801899421092</v>
      </c>
      <c r="AB370" s="7">
        <f>(R$436-Tabell2[[#This Row],[Eldreandel-T]])*100/R$439</f>
        <v>0</v>
      </c>
      <c r="AC370" s="7">
        <f>100-(S$436-Tabell2[[#This Row],[Sysselsettingsvekst10-T]])*100/S$439</f>
        <v>36.760551832321021</v>
      </c>
      <c r="AD370" s="7">
        <f>100-(T$436-Tabell2[[#This Row],[Yrkesaktivandel-T]])*100/T$439</f>
        <v>48.757771724720946</v>
      </c>
      <c r="AE370" s="7">
        <f>100-(U$436-Tabell2[[#This Row],[Inntekt-T]])*100/U$439</f>
        <v>12.628371515630292</v>
      </c>
      <c r="AF370" s="7">
        <v>10</v>
      </c>
      <c r="AG370" s="7">
        <v>1.5834734917727094</v>
      </c>
      <c r="AH370" s="7">
        <v>0</v>
      </c>
      <c r="AI370" s="7">
        <v>0</v>
      </c>
      <c r="AJ370" s="7">
        <v>0.35254900949710549</v>
      </c>
      <c r="AK370" s="7">
        <v>0</v>
      </c>
      <c r="AL370" s="7">
        <v>3.6760551832321022</v>
      </c>
      <c r="AM370" s="7">
        <v>4.8757771724720946</v>
      </c>
      <c r="AN370" s="7">
        <v>1.2628371515630292</v>
      </c>
      <c r="AO37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21.75069200853704</v>
      </c>
    </row>
    <row r="371" spans="1:41" x14ac:dyDescent="0.3">
      <c r="A371" s="2" t="s">
        <v>368</v>
      </c>
      <c r="B371">
        <f>'Rådata-K'!N370</f>
        <v>11</v>
      </c>
      <c r="C371" s="7">
        <f>'Rådata-K'!M370</f>
        <v>350.7</v>
      </c>
      <c r="D371" s="24">
        <f>'Rådata-K'!O370</f>
        <v>2.637665826513572</v>
      </c>
      <c r="E371" s="24">
        <f>'Rådata-K'!P370</f>
        <v>2.5201173346018155</v>
      </c>
      <c r="F371" s="24">
        <f>'Rådata-K'!Q370</f>
        <v>-7.8623188405797073E-2</v>
      </c>
      <c r="G371" s="24">
        <f>'Rådata-K'!R370</f>
        <v>9.3197011403853711E-2</v>
      </c>
      <c r="H371" s="24">
        <f>'Rådata-K'!S370</f>
        <v>0.22139205662603226</v>
      </c>
      <c r="I371" s="24">
        <f>'Rådata-K'!T370</f>
        <v>1.3725490196078383E-2</v>
      </c>
      <c r="J371" s="24">
        <f>'Rådata-K'!U370</f>
        <v>0.8606856309263311</v>
      </c>
      <c r="K371" s="24">
        <f>'Rådata-K'!L370</f>
        <v>352700</v>
      </c>
      <c r="L371" s="24">
        <f>Tabell2[[#This Row],[NIBR11]]</f>
        <v>11</v>
      </c>
      <c r="M371" s="24">
        <f>IF(Tabell2[[#This Row],[ReisetidOslo]]&lt;=C$434,C$434,IF(Tabell2[[#This Row],[ReisetidOslo]]&gt;=C$435,C$435,Tabell2[[#This Row],[ReisetidOslo]]))</f>
        <v>280.45666666669001</v>
      </c>
      <c r="N371" s="24">
        <f>IF(Tabell2[[#This Row],[Beftettland]]&lt;=D$434,D$434,IF(Tabell2[[#This Row],[Beftettland]]&gt;=D$435,D$435,Tabell2[[#This Row],[Beftettland]]))</f>
        <v>2.637665826513572</v>
      </c>
      <c r="O371" s="24">
        <f>IF(Tabell2[[#This Row],[Beftettotal]]&lt;=E$434,E$434,IF(Tabell2[[#This Row],[Beftettotal]]&gt;=E$435,E$435,Tabell2[[#This Row],[Beftettotal]]))</f>
        <v>2.5201173346018155</v>
      </c>
      <c r="P371" s="24">
        <f>IF(Tabell2[[#This Row],[Befvekst10]]&lt;=F$434,F$434,IF(Tabell2[[#This Row],[Befvekst10]]&gt;=F$435,F$435,Tabell2[[#This Row],[Befvekst10]]))</f>
        <v>-7.1062862685144085E-2</v>
      </c>
      <c r="Q371" s="24">
        <f>IF(Tabell2[[#This Row],[Kvinneandel]]&lt;=G$434,G$434,IF(Tabell2[[#This Row],[Kvinneandel]]&gt;=G$435,G$435,Tabell2[[#This Row],[Kvinneandel]]))</f>
        <v>9.3197011403853711E-2</v>
      </c>
      <c r="R371" s="24">
        <f>IF(Tabell2[[#This Row],[Eldreandel]]&lt;=H$434,H$434,IF(Tabell2[[#This Row],[Eldreandel]]&gt;=H$435,H$435,Tabell2[[#This Row],[Eldreandel]]))</f>
        <v>0.22032896051974013</v>
      </c>
      <c r="S371" s="24">
        <f>IF(Tabell2[[#This Row],[Sysselsettingsvekst10]]&lt;=I$434,I$434,IF(Tabell2[[#This Row],[Sysselsettingsvekst10]]&gt;=I$435,I$435,Tabell2[[#This Row],[Sysselsettingsvekst10]]))</f>
        <v>1.3725490196078383E-2</v>
      </c>
      <c r="T371" s="24">
        <f>IF(Tabell2[[#This Row],[Yrkesaktivandel]]&lt;=J$434,J$434,IF(Tabell2[[#This Row],[Yrkesaktivandel]]&gt;=J$435,J$435,Tabell2[[#This Row],[Yrkesaktivandel]]))</f>
        <v>0.8606856309263311</v>
      </c>
      <c r="U371" s="24">
        <f>IF(Tabell2[[#This Row],[Inntekt]]&lt;=K$434,K$434,IF(Tabell2[[#This Row],[Inntekt]]&gt;=K$435,K$435,Tabell2[[#This Row],[Inntekt]]))</f>
        <v>352700</v>
      </c>
      <c r="V371" s="7">
        <f>IF(Tabell2[[#This Row],[NIBR11-T]]&lt;=L$437,100,IF(Tabell2[[#This Row],[NIBR11-T]]&gt;=L$436,0,100*(L$436-Tabell2[[#This Row],[NIBR11-T]])/L$439))</f>
        <v>0</v>
      </c>
      <c r="W371" s="7">
        <f>(M$436-Tabell2[[#This Row],[ReisetidOslo-T]])*100/M$439</f>
        <v>0</v>
      </c>
      <c r="X371" s="7">
        <f>100-(N$436-Tabell2[[#This Row],[Beftettland-T]])*100/N$439</f>
        <v>0.91362544081820829</v>
      </c>
      <c r="Y371" s="7">
        <f>100-(O$436-Tabell2[[#This Row],[Beftettotal-T]])*100/O$439</f>
        <v>0.92009853363822458</v>
      </c>
      <c r="Z371" s="7">
        <f>100-(P$436-Tabell2[[#This Row],[Befvekst10-T]])*100/P$439</f>
        <v>0</v>
      </c>
      <c r="AA371" s="7">
        <f>100-(Q$436-Tabell2[[#This Row],[Kvinneandel-T]])*100/Q$439</f>
        <v>9.6549258119027712</v>
      </c>
      <c r="AB371" s="7">
        <f>(R$436-Tabell2[[#This Row],[Eldreandel-T]])*100/R$439</f>
        <v>0</v>
      </c>
      <c r="AC371" s="7">
        <f>100-(S$436-Tabell2[[#This Row],[Sysselsettingsvekst10-T]])*100/S$439</f>
        <v>34.689739239771328</v>
      </c>
      <c r="AD371" s="7">
        <f>100-(T$436-Tabell2[[#This Row],[Yrkesaktivandel-T]])*100/T$439</f>
        <v>43.588120820986354</v>
      </c>
      <c r="AE371" s="7">
        <f>100-(U$436-Tabell2[[#This Row],[Inntekt-T]])*100/U$439</f>
        <v>9.3556032050558571</v>
      </c>
      <c r="AF371" s="7">
        <v>0</v>
      </c>
      <c r="AG371" s="7">
        <v>0</v>
      </c>
      <c r="AH371" s="7">
        <v>9.2009853363822461E-2</v>
      </c>
      <c r="AI371" s="7">
        <v>0</v>
      </c>
      <c r="AJ371" s="7">
        <v>0.48274629059513857</v>
      </c>
      <c r="AK371" s="7">
        <v>0</v>
      </c>
      <c r="AL371" s="7">
        <v>3.4689739239771331</v>
      </c>
      <c r="AM371" s="7">
        <v>4.3588120820986358</v>
      </c>
      <c r="AN371" s="7">
        <v>0.9355603205055858</v>
      </c>
      <c r="AO37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9.3381024705403153</v>
      </c>
    </row>
    <row r="372" spans="1:41" x14ac:dyDescent="0.3">
      <c r="A372" s="2" t="s">
        <v>369</v>
      </c>
      <c r="B372">
        <f>'Rådata-K'!N371</f>
        <v>11</v>
      </c>
      <c r="C372" s="7">
        <f>'Rådata-K'!M371</f>
        <v>352.71666666700003</v>
      </c>
      <c r="D372" s="24">
        <f>'Rådata-K'!O371</f>
        <v>1.9738764379321911</v>
      </c>
      <c r="E372" s="24">
        <f>'Rådata-K'!P371</f>
        <v>1.7647741785672821</v>
      </c>
      <c r="F372" s="24">
        <f>'Rådata-K'!Q371</f>
        <v>1.6474464579900872E-3</v>
      </c>
      <c r="G372" s="24">
        <f>'Rådata-K'!R371</f>
        <v>0.10142543859649122</v>
      </c>
      <c r="H372" s="24">
        <f>'Rådata-K'!S371</f>
        <v>0.20833333333333334</v>
      </c>
      <c r="I372" s="24">
        <f>'Rådata-K'!T371</f>
        <v>0.11481975967957281</v>
      </c>
      <c r="J372" s="24">
        <f>'Rådata-K'!U371</f>
        <v>0.84791252485089463</v>
      </c>
      <c r="K372" s="24">
        <f>'Rådata-K'!L371</f>
        <v>356500</v>
      </c>
      <c r="L372" s="24">
        <f>Tabell2[[#This Row],[NIBR11]]</f>
        <v>11</v>
      </c>
      <c r="M372" s="24">
        <f>IF(Tabell2[[#This Row],[ReisetidOslo]]&lt;=C$434,C$434,IF(Tabell2[[#This Row],[ReisetidOslo]]&gt;=C$435,C$435,Tabell2[[#This Row],[ReisetidOslo]]))</f>
        <v>280.45666666669001</v>
      </c>
      <c r="N372" s="24">
        <f>IF(Tabell2[[#This Row],[Beftettland]]&lt;=D$434,D$434,IF(Tabell2[[#This Row],[Beftettland]]&gt;=D$435,D$435,Tabell2[[#This Row],[Beftettland]]))</f>
        <v>1.9738764379321911</v>
      </c>
      <c r="O372" s="24">
        <f>IF(Tabell2[[#This Row],[Beftettotal]]&lt;=E$434,E$434,IF(Tabell2[[#This Row],[Beftettotal]]&gt;=E$435,E$435,Tabell2[[#This Row],[Beftettotal]]))</f>
        <v>1.7647741785672821</v>
      </c>
      <c r="P372" s="24">
        <f>IF(Tabell2[[#This Row],[Befvekst10]]&lt;=F$434,F$434,IF(Tabell2[[#This Row],[Befvekst10]]&gt;=F$435,F$435,Tabell2[[#This Row],[Befvekst10]]))</f>
        <v>1.6474464579900872E-3</v>
      </c>
      <c r="Q372" s="24">
        <f>IF(Tabell2[[#This Row],[Kvinneandel]]&lt;=G$434,G$434,IF(Tabell2[[#This Row],[Kvinneandel]]&gt;=G$435,G$435,Tabell2[[#This Row],[Kvinneandel]]))</f>
        <v>0.10142543859649122</v>
      </c>
      <c r="R372" s="24">
        <f>IF(Tabell2[[#This Row],[Eldreandel]]&lt;=H$434,H$434,IF(Tabell2[[#This Row],[Eldreandel]]&gt;=H$435,H$435,Tabell2[[#This Row],[Eldreandel]]))</f>
        <v>0.20833333333333334</v>
      </c>
      <c r="S372" s="24">
        <f>IF(Tabell2[[#This Row],[Sysselsettingsvekst10]]&lt;=I$434,I$434,IF(Tabell2[[#This Row],[Sysselsettingsvekst10]]&gt;=I$435,I$435,Tabell2[[#This Row],[Sysselsettingsvekst10]]))</f>
        <v>0.11481975967957281</v>
      </c>
      <c r="T372" s="24">
        <f>IF(Tabell2[[#This Row],[Yrkesaktivandel]]&lt;=J$434,J$434,IF(Tabell2[[#This Row],[Yrkesaktivandel]]&gt;=J$435,J$435,Tabell2[[#This Row],[Yrkesaktivandel]]))</f>
        <v>0.84791252485089463</v>
      </c>
      <c r="U372" s="24">
        <f>IF(Tabell2[[#This Row],[Inntekt]]&lt;=K$434,K$434,IF(Tabell2[[#This Row],[Inntekt]]&gt;=K$435,K$435,Tabell2[[#This Row],[Inntekt]]))</f>
        <v>356500</v>
      </c>
      <c r="V372" s="7">
        <f>IF(Tabell2[[#This Row],[NIBR11-T]]&lt;=L$437,100,IF(Tabell2[[#This Row],[NIBR11-T]]&gt;=L$436,0,100*(L$436-Tabell2[[#This Row],[NIBR11-T]])/L$439))</f>
        <v>0</v>
      </c>
      <c r="W372" s="7">
        <f>(M$436-Tabell2[[#This Row],[ReisetidOslo-T]])*100/M$439</f>
        <v>0</v>
      </c>
      <c r="X372" s="7">
        <f>100-(N$436-Tabell2[[#This Row],[Beftettland-T]])*100/N$439</f>
        <v>0.42261794491295746</v>
      </c>
      <c r="Y372" s="7">
        <f>100-(O$436-Tabell2[[#This Row],[Beftettotal-T]])*100/O$439</f>
        <v>0.3419297518505573</v>
      </c>
      <c r="Z372" s="7">
        <f>100-(P$436-Tabell2[[#This Row],[Befvekst10-T]])*100/P$439</f>
        <v>29.430301200367467</v>
      </c>
      <c r="AA372" s="7">
        <f>100-(Q$436-Tabell2[[#This Row],[Kvinneandel-T]])*100/Q$439</f>
        <v>31.271442384950205</v>
      </c>
      <c r="AB372" s="7">
        <f>(R$436-Tabell2[[#This Row],[Eldreandel-T]])*100/R$439</f>
        <v>12.946338625989847</v>
      </c>
      <c r="AC372" s="7">
        <f>100-(S$436-Tabell2[[#This Row],[Sysselsettingsvekst10-T]])*100/S$439</f>
        <v>67.681985593225278</v>
      </c>
      <c r="AD372" s="7">
        <f>100-(T$436-Tabell2[[#This Row],[Yrkesaktivandel-T]])*100/T$439</f>
        <v>34.579328012694447</v>
      </c>
      <c r="AE372" s="7">
        <f>100-(U$436-Tabell2[[#This Row],[Inntekt-T]])*100/U$439</f>
        <v>13.644058232705106</v>
      </c>
      <c r="AF372" s="7">
        <v>0</v>
      </c>
      <c r="AG372" s="7">
        <v>0</v>
      </c>
      <c r="AH372" s="7">
        <v>3.4192975185055728E-2</v>
      </c>
      <c r="AI372" s="7">
        <v>5.886060240073494</v>
      </c>
      <c r="AJ372" s="7">
        <v>1.5635721192475103</v>
      </c>
      <c r="AK372" s="7">
        <v>0.64731693129949242</v>
      </c>
      <c r="AL372" s="7">
        <v>6.7681985593225278</v>
      </c>
      <c r="AM372" s="7">
        <v>3.457932801269445</v>
      </c>
      <c r="AN372" s="7">
        <v>1.3644058232705107</v>
      </c>
      <c r="AO37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19.721679449668034</v>
      </c>
    </row>
    <row r="373" spans="1:41" x14ac:dyDescent="0.3">
      <c r="A373" s="2" t="s">
        <v>370</v>
      </c>
      <c r="B373">
        <f>'Rådata-K'!N372</f>
        <v>11</v>
      </c>
      <c r="C373" s="7">
        <f>'Rådata-K'!M372</f>
        <v>328.48333333329998</v>
      </c>
      <c r="D373" s="24">
        <f>'Rådata-K'!O372</f>
        <v>1.4530839387849745</v>
      </c>
      <c r="E373" s="24">
        <f>'Rådata-K'!P372</f>
        <v>1.3486093746797565</v>
      </c>
      <c r="F373" s="24">
        <f>'Rådata-K'!Q372</f>
        <v>-6.7988668555240772E-2</v>
      </c>
      <c r="G373" s="24">
        <f>'Rådata-K'!R372</f>
        <v>9.3718338399189458E-2</v>
      </c>
      <c r="H373" s="24">
        <f>'Rådata-K'!S372</f>
        <v>0.20618034447821681</v>
      </c>
      <c r="I373" s="24">
        <f>'Rådata-K'!T372</f>
        <v>-3.1746031746031744E-2</v>
      </c>
      <c r="J373" s="24">
        <f>'Rådata-K'!U372</f>
        <v>0.78319783197831983</v>
      </c>
      <c r="K373" s="24">
        <f>'Rådata-K'!L372</f>
        <v>344700</v>
      </c>
      <c r="L373" s="24">
        <f>Tabell2[[#This Row],[NIBR11]]</f>
        <v>11</v>
      </c>
      <c r="M373" s="24">
        <f>IF(Tabell2[[#This Row],[ReisetidOslo]]&lt;=C$434,C$434,IF(Tabell2[[#This Row],[ReisetidOslo]]&gt;=C$435,C$435,Tabell2[[#This Row],[ReisetidOslo]]))</f>
        <v>280.45666666669001</v>
      </c>
      <c r="N373" s="24">
        <f>IF(Tabell2[[#This Row],[Beftettland]]&lt;=D$434,D$434,IF(Tabell2[[#This Row],[Beftettland]]&gt;=D$435,D$435,Tabell2[[#This Row],[Beftettland]]))</f>
        <v>1.4530839387849745</v>
      </c>
      <c r="O373" s="24">
        <f>IF(Tabell2[[#This Row],[Beftettotal]]&lt;=E$434,E$434,IF(Tabell2[[#This Row],[Beftettotal]]&gt;=E$435,E$435,Tabell2[[#This Row],[Beftettotal]]))</f>
        <v>1.3486093746797565</v>
      </c>
      <c r="P373" s="24">
        <f>IF(Tabell2[[#This Row],[Befvekst10]]&lt;=F$434,F$434,IF(Tabell2[[#This Row],[Befvekst10]]&gt;=F$435,F$435,Tabell2[[#This Row],[Befvekst10]]))</f>
        <v>-6.7988668555240772E-2</v>
      </c>
      <c r="Q373" s="24">
        <f>IF(Tabell2[[#This Row],[Kvinneandel]]&lt;=G$434,G$434,IF(Tabell2[[#This Row],[Kvinneandel]]&gt;=G$435,G$435,Tabell2[[#This Row],[Kvinneandel]]))</f>
        <v>9.3718338399189458E-2</v>
      </c>
      <c r="R373" s="24">
        <f>IF(Tabell2[[#This Row],[Eldreandel]]&lt;=H$434,H$434,IF(Tabell2[[#This Row],[Eldreandel]]&gt;=H$435,H$435,Tabell2[[#This Row],[Eldreandel]]))</f>
        <v>0.20618034447821681</v>
      </c>
      <c r="S373" s="24">
        <f>IF(Tabell2[[#This Row],[Sysselsettingsvekst10]]&lt;=I$434,I$434,IF(Tabell2[[#This Row],[Sysselsettingsvekst10]]&gt;=I$435,I$435,Tabell2[[#This Row],[Sysselsettingsvekst10]]))</f>
        <v>-3.1746031746031744E-2</v>
      </c>
      <c r="T373" s="24">
        <f>IF(Tabell2[[#This Row],[Yrkesaktivandel]]&lt;=J$434,J$434,IF(Tabell2[[#This Row],[Yrkesaktivandel]]&gt;=J$435,J$435,Tabell2[[#This Row],[Yrkesaktivandel]]))</f>
        <v>0.79888426611272945</v>
      </c>
      <c r="U373" s="24">
        <f>IF(Tabell2[[#This Row],[Inntekt]]&lt;=K$434,K$434,IF(Tabell2[[#This Row],[Inntekt]]&gt;=K$435,K$435,Tabell2[[#This Row],[Inntekt]]))</f>
        <v>344700</v>
      </c>
      <c r="V373" s="7">
        <f>IF(Tabell2[[#This Row],[NIBR11-T]]&lt;=L$437,100,IF(Tabell2[[#This Row],[NIBR11-T]]&gt;=L$436,0,100*(L$436-Tabell2[[#This Row],[NIBR11-T]])/L$439))</f>
        <v>0</v>
      </c>
      <c r="W373" s="7">
        <f>(M$436-Tabell2[[#This Row],[ReisetidOslo-T]])*100/M$439</f>
        <v>0</v>
      </c>
      <c r="X373" s="7">
        <f>100-(N$436-Tabell2[[#This Row],[Beftettland-T]])*100/N$439</f>
        <v>3.7385783490464064E-2</v>
      </c>
      <c r="Y373" s="7">
        <f>100-(O$436-Tabell2[[#This Row],[Beftettotal-T]])*100/O$439</f>
        <v>2.338116136655799E-2</v>
      </c>
      <c r="Z373" s="7">
        <f>100-(P$436-Tabell2[[#This Row],[Befvekst10-T]])*100/P$439</f>
        <v>1.2443140492409839</v>
      </c>
      <c r="AA373" s="7">
        <f>100-(Q$436-Tabell2[[#This Row],[Kvinneandel-T]])*100/Q$439</f>
        <v>11.024479600351611</v>
      </c>
      <c r="AB373" s="7">
        <f>(R$436-Tabell2[[#This Row],[Eldreandel-T]])*100/R$439</f>
        <v>15.269962255099149</v>
      </c>
      <c r="AC373" s="7">
        <f>100-(S$436-Tabell2[[#This Row],[Sysselsettingsvekst10-T]])*100/S$439</f>
        <v>19.850048902768364</v>
      </c>
      <c r="AD373" s="7">
        <f>100-(T$436-Tabell2[[#This Row],[Yrkesaktivandel-T]])*100/T$439</f>
        <v>0</v>
      </c>
      <c r="AE373" s="7">
        <f>100-(U$436-Tabell2[[#This Row],[Inntekt-T]])*100/U$439</f>
        <v>0.32727683105744632</v>
      </c>
      <c r="AF373" s="7">
        <v>0</v>
      </c>
      <c r="AG373" s="7">
        <v>0</v>
      </c>
      <c r="AH373" s="7">
        <v>2.338116136655799E-3</v>
      </c>
      <c r="AI373" s="7">
        <v>0.24886280984819678</v>
      </c>
      <c r="AJ373" s="7">
        <v>0.55122398001758055</v>
      </c>
      <c r="AK373" s="7">
        <v>0.76349811275495749</v>
      </c>
      <c r="AL373" s="7">
        <v>1.9850048902768365</v>
      </c>
      <c r="AM373" s="7">
        <v>0</v>
      </c>
      <c r="AN373" s="7">
        <v>3.2727683105744636E-2</v>
      </c>
      <c r="AO37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3.583655592139972</v>
      </c>
    </row>
    <row r="374" spans="1:41" x14ac:dyDescent="0.3">
      <c r="A374" s="2" t="s">
        <v>371</v>
      </c>
      <c r="B374">
        <f>'Rådata-K'!N373</f>
        <v>11</v>
      </c>
      <c r="C374" s="7">
        <f>'Rådata-K'!M373</f>
        <v>257.01666666669996</v>
      </c>
      <c r="D374" s="24">
        <f>'Rådata-K'!O373</f>
        <v>4.2215527595644557</v>
      </c>
      <c r="E374" s="24">
        <f>'Rådata-K'!P373</f>
        <v>4.0645320290432041</v>
      </c>
      <c r="F374" s="24">
        <f>'Rådata-K'!Q373</f>
        <v>-7.3465859982713932E-2</v>
      </c>
      <c r="G374" s="24">
        <f>'Rådata-K'!R373</f>
        <v>8.2089552238805971E-2</v>
      </c>
      <c r="H374" s="24">
        <f>'Rådata-K'!S373</f>
        <v>0.23087686567164178</v>
      </c>
      <c r="I374" s="24">
        <f>'Rådata-K'!T373</f>
        <v>-3.7815126050420145E-2</v>
      </c>
      <c r="J374" s="24">
        <f>'Rådata-K'!U373</f>
        <v>0.83130434782608698</v>
      </c>
      <c r="K374" s="24">
        <f>'Rådata-K'!L373</f>
        <v>351900</v>
      </c>
      <c r="L374" s="24">
        <f>Tabell2[[#This Row],[NIBR11]]</f>
        <v>11</v>
      </c>
      <c r="M374" s="24">
        <f>IF(Tabell2[[#This Row],[ReisetidOslo]]&lt;=C$434,C$434,IF(Tabell2[[#This Row],[ReisetidOslo]]&gt;=C$435,C$435,Tabell2[[#This Row],[ReisetidOslo]]))</f>
        <v>257.01666666669996</v>
      </c>
      <c r="N374" s="24">
        <f>IF(Tabell2[[#This Row],[Beftettland]]&lt;=D$434,D$434,IF(Tabell2[[#This Row],[Beftettland]]&gt;=D$435,D$435,Tabell2[[#This Row],[Beftettland]]))</f>
        <v>4.2215527595644557</v>
      </c>
      <c r="O374" s="24">
        <f>IF(Tabell2[[#This Row],[Beftettotal]]&lt;=E$434,E$434,IF(Tabell2[[#This Row],[Beftettotal]]&gt;=E$435,E$435,Tabell2[[#This Row],[Beftettotal]]))</f>
        <v>4.0645320290432041</v>
      </c>
      <c r="P374" s="24">
        <f>IF(Tabell2[[#This Row],[Befvekst10]]&lt;=F$434,F$434,IF(Tabell2[[#This Row],[Befvekst10]]&gt;=F$435,F$435,Tabell2[[#This Row],[Befvekst10]]))</f>
        <v>-7.1062862685144085E-2</v>
      </c>
      <c r="Q374" s="24">
        <f>IF(Tabell2[[#This Row],[Kvinneandel]]&lt;=G$434,G$434,IF(Tabell2[[#This Row],[Kvinneandel]]&gt;=G$435,G$435,Tabell2[[#This Row],[Kvinneandel]]))</f>
        <v>8.9521819157910881E-2</v>
      </c>
      <c r="R374" s="24">
        <f>IF(Tabell2[[#This Row],[Eldreandel]]&lt;=H$434,H$434,IF(Tabell2[[#This Row],[Eldreandel]]&gt;=H$435,H$435,Tabell2[[#This Row],[Eldreandel]]))</f>
        <v>0.22032896051974013</v>
      </c>
      <c r="S374" s="24">
        <f>IF(Tabell2[[#This Row],[Sysselsettingsvekst10]]&lt;=I$434,I$434,IF(Tabell2[[#This Row],[Sysselsettingsvekst10]]&gt;=I$435,I$435,Tabell2[[#This Row],[Sysselsettingsvekst10]]))</f>
        <v>-3.7815126050420145E-2</v>
      </c>
      <c r="T374" s="24">
        <f>IF(Tabell2[[#This Row],[Yrkesaktivandel]]&lt;=J$434,J$434,IF(Tabell2[[#This Row],[Yrkesaktivandel]]&gt;=J$435,J$435,Tabell2[[#This Row],[Yrkesaktivandel]]))</f>
        <v>0.83130434782608698</v>
      </c>
      <c r="U374" s="24">
        <f>IF(Tabell2[[#This Row],[Inntekt]]&lt;=K$434,K$434,IF(Tabell2[[#This Row],[Inntekt]]&gt;=K$435,K$435,Tabell2[[#This Row],[Inntekt]]))</f>
        <v>351900</v>
      </c>
      <c r="V374" s="7">
        <f>IF(Tabell2[[#This Row],[NIBR11-T]]&lt;=L$437,100,IF(Tabell2[[#This Row],[NIBR11-T]]&gt;=L$436,0,100*(L$436-Tabell2[[#This Row],[NIBR11-T]])/L$439))</f>
        <v>0</v>
      </c>
      <c r="W374" s="7">
        <f>(M$436-Tabell2[[#This Row],[ReisetidOslo-T]])*100/M$439</f>
        <v>10.284460694692935</v>
      </c>
      <c r="X374" s="7">
        <f>100-(N$436-Tabell2[[#This Row],[Beftettland-T]])*100/N$439</f>
        <v>2.0852325351353045</v>
      </c>
      <c r="Y374" s="7">
        <f>100-(O$436-Tabell2[[#This Row],[Beftettotal-T]])*100/O$439</f>
        <v>2.1022531018320052</v>
      </c>
      <c r="Z374" s="7">
        <f>100-(P$436-Tabell2[[#This Row],[Befvekst10-T]])*100/P$439</f>
        <v>0</v>
      </c>
      <c r="AA374" s="7">
        <f>100-(Q$436-Tabell2[[#This Row],[Kvinneandel-T]])*100/Q$439</f>
        <v>0</v>
      </c>
      <c r="AB374" s="7">
        <f>(R$436-Tabell2[[#This Row],[Eldreandel-T]])*100/R$439</f>
        <v>0</v>
      </c>
      <c r="AC374" s="7">
        <f>100-(S$436-Tabell2[[#This Row],[Sysselsettingsvekst10-T]])*100/S$439</f>
        <v>17.869392081607799</v>
      </c>
      <c r="AD374" s="7">
        <f>100-(T$436-Tabell2[[#This Row],[Yrkesaktivandel-T]])*100/T$439</f>
        <v>22.865683355217215</v>
      </c>
      <c r="AE374" s="7">
        <f>100-(U$436-Tabell2[[#This Row],[Inntekt-T]])*100/U$439</f>
        <v>8.4527705676560174</v>
      </c>
      <c r="AF374" s="7">
        <v>0</v>
      </c>
      <c r="AG374" s="7">
        <v>1.0284460694692936</v>
      </c>
      <c r="AH374" s="7">
        <v>0.21022531018320054</v>
      </c>
      <c r="AI374" s="7">
        <v>0</v>
      </c>
      <c r="AJ374" s="7">
        <v>0</v>
      </c>
      <c r="AK374" s="7">
        <v>0</v>
      </c>
      <c r="AL374" s="7">
        <v>1.78693920816078</v>
      </c>
      <c r="AM374" s="7">
        <v>2.2865683355217215</v>
      </c>
      <c r="AN374" s="7">
        <v>0.84527705676560183</v>
      </c>
      <c r="AO37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6.1574559801005968</v>
      </c>
    </row>
    <row r="375" spans="1:41" x14ac:dyDescent="0.3">
      <c r="A375" s="2" t="s">
        <v>372</v>
      </c>
      <c r="B375">
        <f>'Rådata-K'!N374</f>
        <v>5</v>
      </c>
      <c r="C375" s="7">
        <f>'Rådata-K'!M374</f>
        <v>223.5833333333</v>
      </c>
      <c r="D375" s="24">
        <f>'Rådata-K'!O374</f>
        <v>4.1340422104076042</v>
      </c>
      <c r="E375" s="24">
        <f>'Rådata-K'!P374</f>
        <v>4.0186681701434566</v>
      </c>
      <c r="F375" s="24">
        <f>'Rådata-K'!Q374</f>
        <v>-8.0945558739255019E-2</v>
      </c>
      <c r="G375" s="24">
        <f>'Rådata-K'!R374</f>
        <v>8.4177708495713169E-2</v>
      </c>
      <c r="H375" s="24">
        <f>'Rådata-K'!S374</f>
        <v>0.24551831644583008</v>
      </c>
      <c r="I375" s="24">
        <f>'Rådata-K'!T374</f>
        <v>4.9356223175965663E-2</v>
      </c>
      <c r="J375" s="24">
        <f>'Rådata-K'!U374</f>
        <v>0.86053412462908008</v>
      </c>
      <c r="K375" s="24">
        <f>'Rådata-K'!L374</f>
        <v>359200</v>
      </c>
      <c r="L375" s="24">
        <f>Tabell2[[#This Row],[NIBR11]]</f>
        <v>5</v>
      </c>
      <c r="M375" s="24">
        <f>IF(Tabell2[[#This Row],[ReisetidOslo]]&lt;=C$434,C$434,IF(Tabell2[[#This Row],[ReisetidOslo]]&gt;=C$435,C$435,Tabell2[[#This Row],[ReisetidOslo]]))</f>
        <v>223.5833333333</v>
      </c>
      <c r="N375" s="24">
        <f>IF(Tabell2[[#This Row],[Beftettland]]&lt;=D$434,D$434,IF(Tabell2[[#This Row],[Beftettland]]&gt;=D$435,D$435,Tabell2[[#This Row],[Beftettland]]))</f>
        <v>4.1340422104076042</v>
      </c>
      <c r="O375" s="24">
        <f>IF(Tabell2[[#This Row],[Beftettotal]]&lt;=E$434,E$434,IF(Tabell2[[#This Row],[Beftettotal]]&gt;=E$435,E$435,Tabell2[[#This Row],[Beftettotal]]))</f>
        <v>4.0186681701434566</v>
      </c>
      <c r="P375" s="24">
        <f>IF(Tabell2[[#This Row],[Befvekst10]]&lt;=F$434,F$434,IF(Tabell2[[#This Row],[Befvekst10]]&gt;=F$435,F$435,Tabell2[[#This Row],[Befvekst10]]))</f>
        <v>-7.1062862685144085E-2</v>
      </c>
      <c r="Q375" s="24">
        <f>IF(Tabell2[[#This Row],[Kvinneandel]]&lt;=G$434,G$434,IF(Tabell2[[#This Row],[Kvinneandel]]&gt;=G$435,G$435,Tabell2[[#This Row],[Kvinneandel]]))</f>
        <v>8.9521819157910881E-2</v>
      </c>
      <c r="R375" s="24">
        <f>IF(Tabell2[[#This Row],[Eldreandel]]&lt;=H$434,H$434,IF(Tabell2[[#This Row],[Eldreandel]]&gt;=H$435,H$435,Tabell2[[#This Row],[Eldreandel]]))</f>
        <v>0.22032896051974013</v>
      </c>
      <c r="S375" s="24">
        <f>IF(Tabell2[[#This Row],[Sysselsettingsvekst10]]&lt;=I$434,I$434,IF(Tabell2[[#This Row],[Sysselsettingsvekst10]]&gt;=I$435,I$435,Tabell2[[#This Row],[Sysselsettingsvekst10]]))</f>
        <v>4.9356223175965663E-2</v>
      </c>
      <c r="T375" s="24">
        <f>IF(Tabell2[[#This Row],[Yrkesaktivandel]]&lt;=J$434,J$434,IF(Tabell2[[#This Row],[Yrkesaktivandel]]&gt;=J$435,J$435,Tabell2[[#This Row],[Yrkesaktivandel]]))</f>
        <v>0.86053412462908008</v>
      </c>
      <c r="U375" s="24">
        <f>IF(Tabell2[[#This Row],[Inntekt]]&lt;=K$434,K$434,IF(Tabell2[[#This Row],[Inntekt]]&gt;=K$435,K$435,Tabell2[[#This Row],[Inntekt]]))</f>
        <v>359200</v>
      </c>
      <c r="V375" s="7">
        <f>IF(Tabell2[[#This Row],[NIBR11-T]]&lt;=L$437,100,IF(Tabell2[[#This Row],[NIBR11-T]]&gt;=L$436,0,100*(L$436-Tabell2[[#This Row],[NIBR11-T]])/L$439))</f>
        <v>60</v>
      </c>
      <c r="W375" s="7">
        <f>(M$436-Tabell2[[#This Row],[ReisetidOslo-T]])*100/M$439</f>
        <v>24.953564899473864</v>
      </c>
      <c r="X375" s="7">
        <f>100-(N$436-Tabell2[[#This Row],[Beftettland-T]])*100/N$439</f>
        <v>2.0205006542918653</v>
      </c>
      <c r="Y375" s="7">
        <f>100-(O$436-Tabell2[[#This Row],[Beftettotal-T]])*100/O$439</f>
        <v>2.0671471354691562</v>
      </c>
      <c r="Z375" s="7">
        <f>100-(P$436-Tabell2[[#This Row],[Befvekst10-T]])*100/P$439</f>
        <v>0</v>
      </c>
      <c r="AA375" s="7">
        <f>100-(Q$436-Tabell2[[#This Row],[Kvinneandel-T]])*100/Q$439</f>
        <v>0</v>
      </c>
      <c r="AB375" s="7">
        <f>(R$436-Tabell2[[#This Row],[Eldreandel-T]])*100/R$439</f>
        <v>0</v>
      </c>
      <c r="AC375" s="7">
        <f>100-(S$436-Tabell2[[#This Row],[Sysselsettingsvekst10-T]])*100/S$439</f>
        <v>46.31787529765645</v>
      </c>
      <c r="AD375" s="7">
        <f>100-(T$436-Tabell2[[#This Row],[Yrkesaktivandel-T]])*100/T$439</f>
        <v>43.48126436547544</v>
      </c>
      <c r="AE375" s="7">
        <f>100-(U$436-Tabell2[[#This Row],[Inntekt-T]])*100/U$439</f>
        <v>16.691118383929577</v>
      </c>
      <c r="AF375" s="7">
        <v>12</v>
      </c>
      <c r="AG375" s="7">
        <v>2.4953564899473868</v>
      </c>
      <c r="AH375" s="7">
        <v>0.20671471354691562</v>
      </c>
      <c r="AI375" s="7">
        <v>0</v>
      </c>
      <c r="AJ375" s="7">
        <v>0</v>
      </c>
      <c r="AK375" s="7">
        <v>0</v>
      </c>
      <c r="AL375" s="7">
        <v>4.6317875297656448</v>
      </c>
      <c r="AM375" s="7">
        <v>4.3481264365475445</v>
      </c>
      <c r="AN375" s="7">
        <v>1.6691118383929577</v>
      </c>
      <c r="AO37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25.351097008200451</v>
      </c>
    </row>
    <row r="376" spans="1:41" x14ac:dyDescent="0.3">
      <c r="A376" s="2" t="s">
        <v>373</v>
      </c>
      <c r="B376">
        <f>'Rådata-K'!N375</f>
        <v>5</v>
      </c>
      <c r="C376" s="7">
        <f>'Rådata-K'!M375</f>
        <v>210.9</v>
      </c>
      <c r="D376" s="24">
        <f>'Rådata-K'!O375</f>
        <v>5.7932632624348255</v>
      </c>
      <c r="E376" s="24">
        <f>'Rådata-K'!P375</f>
        <v>5.53841284911781</v>
      </c>
      <c r="F376" s="24">
        <f>'Rådata-K'!Q375</f>
        <v>2.564102564102555E-2</v>
      </c>
      <c r="G376" s="24">
        <f>'Rådata-K'!R375</f>
        <v>9.1428571428571428E-2</v>
      </c>
      <c r="H376" s="24">
        <f>'Rådata-K'!S375</f>
        <v>0.23</v>
      </c>
      <c r="I376" s="24">
        <f>'Rådata-K'!T375</f>
        <v>1.0000000000000009E-2</v>
      </c>
      <c r="J376" s="24">
        <f>'Rådata-K'!U375</f>
        <v>0.78159340659340659</v>
      </c>
      <c r="K376" s="24">
        <f>'Rådata-K'!L375</f>
        <v>344000</v>
      </c>
      <c r="L376" s="24">
        <f>Tabell2[[#This Row],[NIBR11]]</f>
        <v>5</v>
      </c>
      <c r="M376" s="24">
        <f>IF(Tabell2[[#This Row],[ReisetidOslo]]&lt;=C$434,C$434,IF(Tabell2[[#This Row],[ReisetidOslo]]&gt;=C$435,C$435,Tabell2[[#This Row],[ReisetidOslo]]))</f>
        <v>210.9</v>
      </c>
      <c r="N376" s="24">
        <f>IF(Tabell2[[#This Row],[Beftettland]]&lt;=D$434,D$434,IF(Tabell2[[#This Row],[Beftettland]]&gt;=D$435,D$435,Tabell2[[#This Row],[Beftettland]]))</f>
        <v>5.7932632624348255</v>
      </c>
      <c r="O376" s="24">
        <f>IF(Tabell2[[#This Row],[Beftettotal]]&lt;=E$434,E$434,IF(Tabell2[[#This Row],[Beftettotal]]&gt;=E$435,E$435,Tabell2[[#This Row],[Beftettotal]]))</f>
        <v>5.53841284911781</v>
      </c>
      <c r="P376" s="24">
        <f>IF(Tabell2[[#This Row],[Befvekst10]]&lt;=F$434,F$434,IF(Tabell2[[#This Row],[Befvekst10]]&gt;=F$435,F$435,Tabell2[[#This Row],[Befvekst10]]))</f>
        <v>2.564102564102555E-2</v>
      </c>
      <c r="Q376" s="24">
        <f>IF(Tabell2[[#This Row],[Kvinneandel]]&lt;=G$434,G$434,IF(Tabell2[[#This Row],[Kvinneandel]]&gt;=G$435,G$435,Tabell2[[#This Row],[Kvinneandel]]))</f>
        <v>9.1428571428571428E-2</v>
      </c>
      <c r="R376" s="24">
        <f>IF(Tabell2[[#This Row],[Eldreandel]]&lt;=H$434,H$434,IF(Tabell2[[#This Row],[Eldreandel]]&gt;=H$435,H$435,Tabell2[[#This Row],[Eldreandel]]))</f>
        <v>0.22032896051974013</v>
      </c>
      <c r="S376" s="24">
        <f>IF(Tabell2[[#This Row],[Sysselsettingsvekst10]]&lt;=I$434,I$434,IF(Tabell2[[#This Row],[Sysselsettingsvekst10]]&gt;=I$435,I$435,Tabell2[[#This Row],[Sysselsettingsvekst10]]))</f>
        <v>1.0000000000000009E-2</v>
      </c>
      <c r="T376" s="24">
        <f>IF(Tabell2[[#This Row],[Yrkesaktivandel]]&lt;=J$434,J$434,IF(Tabell2[[#This Row],[Yrkesaktivandel]]&gt;=J$435,J$435,Tabell2[[#This Row],[Yrkesaktivandel]]))</f>
        <v>0.79888426611272945</v>
      </c>
      <c r="U376" s="24">
        <f>IF(Tabell2[[#This Row],[Inntekt]]&lt;=K$434,K$434,IF(Tabell2[[#This Row],[Inntekt]]&gt;=K$435,K$435,Tabell2[[#This Row],[Inntekt]]))</f>
        <v>344410</v>
      </c>
      <c r="V376" s="7">
        <f>IF(Tabell2[[#This Row],[NIBR11-T]]&lt;=L$437,100,IF(Tabell2[[#This Row],[NIBR11-T]]&gt;=L$436,0,100*(L$436-Tabell2[[#This Row],[NIBR11-T]])/L$439))</f>
        <v>60</v>
      </c>
      <c r="W376" s="7">
        <f>(M$436-Tabell2[[#This Row],[ReisetidOslo-T]])*100/M$439</f>
        <v>30.518464351012597</v>
      </c>
      <c r="X376" s="7">
        <f>100-(N$436-Tabell2[[#This Row],[Beftettland-T]])*100/N$439</f>
        <v>3.2478326784603837</v>
      </c>
      <c r="Y376" s="7">
        <f>100-(O$436-Tabell2[[#This Row],[Beftettotal-T]])*100/O$439</f>
        <v>3.2304183224138825</v>
      </c>
      <c r="Z376" s="7">
        <f>100-(P$436-Tabell2[[#This Row],[Befvekst10-T]])*100/P$439</f>
        <v>39.141967545253024</v>
      </c>
      <c r="AA376" s="7">
        <f>100-(Q$436-Tabell2[[#This Row],[Kvinneandel-T]])*100/Q$439</f>
        <v>5.0091397899600167</v>
      </c>
      <c r="AB376" s="7">
        <f>(R$436-Tabell2[[#This Row],[Eldreandel-T]])*100/R$439</f>
        <v>0</v>
      </c>
      <c r="AC376" s="7">
        <f>100-(S$436-Tabell2[[#This Row],[Sysselsettingsvekst10-T]])*100/S$439</f>
        <v>33.473920668012781</v>
      </c>
      <c r="AD376" s="7">
        <f>100-(T$436-Tabell2[[#This Row],[Yrkesaktivandel-T]])*100/T$439</f>
        <v>0</v>
      </c>
      <c r="AE376" s="7">
        <f>100-(U$436-Tabell2[[#This Row],[Inntekt-T]])*100/U$439</f>
        <v>0</v>
      </c>
      <c r="AF376" s="7">
        <v>12</v>
      </c>
      <c r="AG376" s="7">
        <v>3.0518464351012597</v>
      </c>
      <c r="AH376" s="7">
        <v>0.32304183224138827</v>
      </c>
      <c r="AI376" s="7">
        <v>7.8283935090506054</v>
      </c>
      <c r="AJ376" s="7">
        <v>0.25045698949800083</v>
      </c>
      <c r="AK376" s="7">
        <v>0</v>
      </c>
      <c r="AL376" s="7">
        <v>3.3473920668012784</v>
      </c>
      <c r="AM376" s="7">
        <v>0</v>
      </c>
      <c r="AN376" s="7">
        <v>0</v>
      </c>
      <c r="AO37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26.801130832692536</v>
      </c>
    </row>
    <row r="377" spans="1:41" x14ac:dyDescent="0.3">
      <c r="A377" s="2" t="s">
        <v>374</v>
      </c>
      <c r="B377">
        <f>'Rådata-K'!N376</f>
        <v>5</v>
      </c>
      <c r="C377" s="7">
        <f>'Rådata-K'!M376</f>
        <v>286.18333333329997</v>
      </c>
      <c r="D377" s="24">
        <f>'Rådata-K'!O376</f>
        <v>3.0188144421216738</v>
      </c>
      <c r="E377" s="24">
        <f>'Rådata-K'!P376</f>
        <v>2.7418714667295996</v>
      </c>
      <c r="F377" s="24">
        <f>'Rådata-K'!Q376</f>
        <v>-5.3683820807108429E-2</v>
      </c>
      <c r="G377" s="24">
        <f>'Rådata-K'!R376</f>
        <v>9.5070422535211266E-2</v>
      </c>
      <c r="H377" s="24">
        <f>'Rådata-K'!S376</f>
        <v>0.20618153364632238</v>
      </c>
      <c r="I377" s="24">
        <f>'Rådata-K'!T376</f>
        <v>-0.1278648974668275</v>
      </c>
      <c r="J377" s="24">
        <f>'Rådata-K'!U376</f>
        <v>0.75615050651230098</v>
      </c>
      <c r="K377" s="24">
        <f>'Rådata-K'!L376</f>
        <v>346600</v>
      </c>
      <c r="L377" s="24">
        <f>Tabell2[[#This Row],[NIBR11]]</f>
        <v>5</v>
      </c>
      <c r="M377" s="24">
        <f>IF(Tabell2[[#This Row],[ReisetidOslo]]&lt;=C$434,C$434,IF(Tabell2[[#This Row],[ReisetidOslo]]&gt;=C$435,C$435,Tabell2[[#This Row],[ReisetidOslo]]))</f>
        <v>280.45666666669001</v>
      </c>
      <c r="N377" s="24">
        <f>IF(Tabell2[[#This Row],[Beftettland]]&lt;=D$434,D$434,IF(Tabell2[[#This Row],[Beftettland]]&gt;=D$435,D$435,Tabell2[[#This Row],[Beftettland]]))</f>
        <v>3.0188144421216738</v>
      </c>
      <c r="O377" s="24">
        <f>IF(Tabell2[[#This Row],[Beftettotal]]&lt;=E$434,E$434,IF(Tabell2[[#This Row],[Beftettotal]]&gt;=E$435,E$435,Tabell2[[#This Row],[Beftettotal]]))</f>
        <v>2.7418714667295996</v>
      </c>
      <c r="P377" s="24">
        <f>IF(Tabell2[[#This Row],[Befvekst10]]&lt;=F$434,F$434,IF(Tabell2[[#This Row],[Befvekst10]]&gt;=F$435,F$435,Tabell2[[#This Row],[Befvekst10]]))</f>
        <v>-5.3683820807108429E-2</v>
      </c>
      <c r="Q377" s="24">
        <f>IF(Tabell2[[#This Row],[Kvinneandel]]&lt;=G$434,G$434,IF(Tabell2[[#This Row],[Kvinneandel]]&gt;=G$435,G$435,Tabell2[[#This Row],[Kvinneandel]]))</f>
        <v>9.5070422535211266E-2</v>
      </c>
      <c r="R377" s="24">
        <f>IF(Tabell2[[#This Row],[Eldreandel]]&lt;=H$434,H$434,IF(Tabell2[[#This Row],[Eldreandel]]&gt;=H$435,H$435,Tabell2[[#This Row],[Eldreandel]]))</f>
        <v>0.20618153364632238</v>
      </c>
      <c r="S377" s="24">
        <f>IF(Tabell2[[#This Row],[Sysselsettingsvekst10]]&lt;=I$434,I$434,IF(Tabell2[[#This Row],[Sysselsettingsvekst10]]&gt;=I$435,I$435,Tabell2[[#This Row],[Sysselsettingsvekst10]]))</f>
        <v>-9.2570207570207563E-2</v>
      </c>
      <c r="T377" s="24">
        <f>IF(Tabell2[[#This Row],[Yrkesaktivandel]]&lt;=J$434,J$434,IF(Tabell2[[#This Row],[Yrkesaktivandel]]&gt;=J$435,J$435,Tabell2[[#This Row],[Yrkesaktivandel]]))</f>
        <v>0.79888426611272945</v>
      </c>
      <c r="U377" s="24">
        <f>IF(Tabell2[[#This Row],[Inntekt]]&lt;=K$434,K$434,IF(Tabell2[[#This Row],[Inntekt]]&gt;=K$435,K$435,Tabell2[[#This Row],[Inntekt]]))</f>
        <v>346600</v>
      </c>
      <c r="V377" s="7">
        <f>IF(Tabell2[[#This Row],[NIBR11-T]]&lt;=L$437,100,IF(Tabell2[[#This Row],[NIBR11-T]]&gt;=L$436,0,100*(L$436-Tabell2[[#This Row],[NIBR11-T]])/L$439))</f>
        <v>60</v>
      </c>
      <c r="W377" s="7">
        <f>(M$436-Tabell2[[#This Row],[ReisetidOslo-T]])*100/M$439</f>
        <v>0</v>
      </c>
      <c r="X377" s="7">
        <f>100-(N$436-Tabell2[[#This Row],[Beftettland-T]])*100/N$439</f>
        <v>1.1955624987718636</v>
      </c>
      <c r="Y377" s="7">
        <f>100-(O$436-Tabell2[[#This Row],[Beftettotal-T]])*100/O$439</f>
        <v>1.0898376984197</v>
      </c>
      <c r="Z377" s="7">
        <f>100-(P$436-Tabell2[[#This Row],[Befvekst10-T]])*100/P$439</f>
        <v>7.0343592686084264</v>
      </c>
      <c r="AA377" s="7">
        <f>100-(Q$436-Tabell2[[#This Row],[Kvinneandel-T]])*100/Q$439</f>
        <v>14.576476652792152</v>
      </c>
      <c r="AB377" s="7">
        <f>(R$436-Tabell2[[#This Row],[Eldreandel-T]])*100/R$439</f>
        <v>15.268678839672953</v>
      </c>
      <c r="AC377" s="7">
        <f>100-(S$436-Tabell2[[#This Row],[Sysselsettingsvekst10-T]])*100/S$439</f>
        <v>0</v>
      </c>
      <c r="AD377" s="7">
        <f>100-(T$436-Tabell2[[#This Row],[Yrkesaktivandel-T]])*100/T$439</f>
        <v>0</v>
      </c>
      <c r="AE377" s="7">
        <f>100-(U$436-Tabell2[[#This Row],[Inntekt-T]])*100/U$439</f>
        <v>2.4715043448820637</v>
      </c>
      <c r="AF377" s="7">
        <v>12</v>
      </c>
      <c r="AG377" s="7">
        <v>0</v>
      </c>
      <c r="AH377" s="7">
        <v>0.10898376984197</v>
      </c>
      <c r="AI377" s="7">
        <v>1.4068718537216853</v>
      </c>
      <c r="AJ377" s="7">
        <v>0.7288238326396077</v>
      </c>
      <c r="AK377" s="7">
        <v>0.76343394198364767</v>
      </c>
      <c r="AL377" s="7">
        <v>0</v>
      </c>
      <c r="AM377" s="7">
        <v>0</v>
      </c>
      <c r="AN377" s="7">
        <v>0.24715043448820639</v>
      </c>
      <c r="AO37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15.255263832675118</v>
      </c>
    </row>
    <row r="378" spans="1:41" x14ac:dyDescent="0.3">
      <c r="A378" s="2" t="s">
        <v>375</v>
      </c>
      <c r="B378">
        <f>'Rådata-K'!N377</f>
        <v>11</v>
      </c>
      <c r="C378" s="7">
        <f>'Rådata-K'!M377</f>
        <v>237.53333333333001</v>
      </c>
      <c r="D378" s="24">
        <f>'Rådata-K'!O377</f>
        <v>56.167176350662587</v>
      </c>
      <c r="E378" s="24">
        <f>'Rådata-K'!P377</f>
        <v>54.392892398815398</v>
      </c>
      <c r="F378" s="24">
        <f>'Rådata-K'!Q377</f>
        <v>-7.8595317725752456E-2</v>
      </c>
      <c r="G378" s="24">
        <f>'Rådata-K'!R377</f>
        <v>0.10526315789473684</v>
      </c>
      <c r="H378" s="24">
        <f>'Rådata-K'!S377</f>
        <v>0.17785843920145192</v>
      </c>
      <c r="I378" s="24">
        <f>'Rådata-K'!T377</f>
        <v>-0.16828478964401294</v>
      </c>
      <c r="J378" s="24">
        <f>'Rådata-K'!U377</f>
        <v>0.8597560975609756</v>
      </c>
      <c r="K378" s="24">
        <f>'Rådata-K'!L377</f>
        <v>374300</v>
      </c>
      <c r="L378" s="24">
        <f>Tabell2[[#This Row],[NIBR11]]</f>
        <v>11</v>
      </c>
      <c r="M378" s="24">
        <f>IF(Tabell2[[#This Row],[ReisetidOslo]]&lt;=C$434,C$434,IF(Tabell2[[#This Row],[ReisetidOslo]]&gt;=C$435,C$435,Tabell2[[#This Row],[ReisetidOslo]]))</f>
        <v>237.53333333333001</v>
      </c>
      <c r="N378" s="24">
        <f>IF(Tabell2[[#This Row],[Beftettland]]&lt;=D$434,D$434,IF(Tabell2[[#This Row],[Beftettland]]&gt;=D$435,D$435,Tabell2[[#This Row],[Beftettland]]))</f>
        <v>56.167176350662587</v>
      </c>
      <c r="O378" s="24">
        <f>IF(Tabell2[[#This Row],[Beftettotal]]&lt;=E$434,E$434,IF(Tabell2[[#This Row],[Beftettotal]]&gt;=E$435,E$435,Tabell2[[#This Row],[Beftettotal]]))</f>
        <v>54.392892398815398</v>
      </c>
      <c r="P378" s="24">
        <f>IF(Tabell2[[#This Row],[Befvekst10]]&lt;=F$434,F$434,IF(Tabell2[[#This Row],[Befvekst10]]&gt;=F$435,F$435,Tabell2[[#This Row],[Befvekst10]]))</f>
        <v>-7.1062862685144085E-2</v>
      </c>
      <c r="Q378" s="24">
        <f>IF(Tabell2[[#This Row],[Kvinneandel]]&lt;=G$434,G$434,IF(Tabell2[[#This Row],[Kvinneandel]]&gt;=G$435,G$435,Tabell2[[#This Row],[Kvinneandel]]))</f>
        <v>0.10526315789473684</v>
      </c>
      <c r="R378" s="24">
        <f>IF(Tabell2[[#This Row],[Eldreandel]]&lt;=H$434,H$434,IF(Tabell2[[#This Row],[Eldreandel]]&gt;=H$435,H$435,Tabell2[[#This Row],[Eldreandel]]))</f>
        <v>0.17785843920145192</v>
      </c>
      <c r="S378" s="24">
        <f>IF(Tabell2[[#This Row],[Sysselsettingsvekst10]]&lt;=I$434,I$434,IF(Tabell2[[#This Row],[Sysselsettingsvekst10]]&gt;=I$435,I$435,Tabell2[[#This Row],[Sysselsettingsvekst10]]))</f>
        <v>-9.2570207570207563E-2</v>
      </c>
      <c r="T378" s="24">
        <f>IF(Tabell2[[#This Row],[Yrkesaktivandel]]&lt;=J$434,J$434,IF(Tabell2[[#This Row],[Yrkesaktivandel]]&gt;=J$435,J$435,Tabell2[[#This Row],[Yrkesaktivandel]]))</f>
        <v>0.8597560975609756</v>
      </c>
      <c r="U378" s="24">
        <f>IF(Tabell2[[#This Row],[Inntekt]]&lt;=K$434,K$434,IF(Tabell2[[#This Row],[Inntekt]]&gt;=K$435,K$435,Tabell2[[#This Row],[Inntekt]]))</f>
        <v>374300</v>
      </c>
      <c r="V378" s="7">
        <f>IF(Tabell2[[#This Row],[NIBR11-T]]&lt;=L$437,100,IF(Tabell2[[#This Row],[NIBR11-T]]&gt;=L$436,0,100*(L$436-Tabell2[[#This Row],[NIBR11-T]])/L$439))</f>
        <v>0</v>
      </c>
      <c r="W378" s="7">
        <f>(M$436-Tabell2[[#This Row],[ReisetidOslo-T]])*100/M$439</f>
        <v>18.832906764177963</v>
      </c>
      <c r="X378" s="7">
        <f>100-(N$436-Tabell2[[#This Row],[Beftettland-T]])*100/N$439</f>
        <v>40.50960478551346</v>
      </c>
      <c r="Y378" s="7">
        <f>100-(O$436-Tabell2[[#This Row],[Beftettotal-T]])*100/O$439</f>
        <v>40.625521065394501</v>
      </c>
      <c r="Z378" s="7">
        <f>100-(P$436-Tabell2[[#This Row],[Befvekst10-T]])*100/P$439</f>
        <v>0</v>
      </c>
      <c r="AA378" s="7">
        <f>100-(Q$436-Tabell2[[#This Row],[Kvinneandel-T]])*100/Q$439</f>
        <v>41.353335421259509</v>
      </c>
      <c r="AB378" s="7">
        <f>(R$436-Tabell2[[#This Row],[Eldreandel-T]])*100/R$439</f>
        <v>45.836515428884404</v>
      </c>
      <c r="AC378" s="7">
        <f>100-(S$436-Tabell2[[#This Row],[Sysselsettingsvekst10-T]])*100/S$439</f>
        <v>0</v>
      </c>
      <c r="AD378" s="7">
        <f>100-(T$436-Tabell2[[#This Row],[Yrkesaktivandel-T]])*100/T$439</f>
        <v>42.932526680655386</v>
      </c>
      <c r="AE378" s="7">
        <f>100-(U$436-Tabell2[[#This Row],[Inntekt-T]])*100/U$439</f>
        <v>33.732084414851599</v>
      </c>
      <c r="AF378" s="7">
        <v>0</v>
      </c>
      <c r="AG378" s="7">
        <v>1.8832906764177963</v>
      </c>
      <c r="AH378" s="7">
        <v>4.0625521065394503</v>
      </c>
      <c r="AI378" s="7">
        <v>0</v>
      </c>
      <c r="AJ378" s="7">
        <v>2.0676667710629757</v>
      </c>
      <c r="AK378" s="7">
        <v>2.2918257714442203</v>
      </c>
      <c r="AL378" s="7">
        <v>0</v>
      </c>
      <c r="AM378" s="7">
        <v>4.2932526680655387</v>
      </c>
      <c r="AN378" s="7">
        <v>3.37320844148516</v>
      </c>
      <c r="AO37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17.971796435015143</v>
      </c>
    </row>
    <row r="379" spans="1:41" x14ac:dyDescent="0.3">
      <c r="A379" s="2" t="s">
        <v>376</v>
      </c>
      <c r="B379">
        <f>'Rådata-K'!N378</f>
        <v>11</v>
      </c>
      <c r="C379" s="7">
        <f>'Rådata-K'!M378</f>
        <v>240.61666666667</v>
      </c>
      <c r="D379" s="24">
        <f>'Rådata-K'!O378</f>
        <v>41.129032258064512</v>
      </c>
      <c r="E379" s="24">
        <f>'Rådata-K'!P378</f>
        <v>41.040772532188839</v>
      </c>
      <c r="F379" s="24">
        <f>'Rådata-K'!Q378</f>
        <v>2.2727272727272707E-2</v>
      </c>
      <c r="G379" s="24">
        <f>'Rådata-K'!R378</f>
        <v>9.9346405228758164E-2</v>
      </c>
      <c r="H379" s="24">
        <f>'Rådata-K'!S378</f>
        <v>0.18431372549019609</v>
      </c>
      <c r="I379" s="24">
        <f>'Rådata-K'!T378</f>
        <v>-3.8147138964577665E-2</v>
      </c>
      <c r="J379" s="24">
        <f>'Rådata-K'!U378</f>
        <v>0.84543325526932089</v>
      </c>
      <c r="K379" s="24">
        <f>'Rådata-K'!L378</f>
        <v>367700</v>
      </c>
      <c r="L379" s="24">
        <f>Tabell2[[#This Row],[NIBR11]]</f>
        <v>11</v>
      </c>
      <c r="M379" s="24">
        <f>IF(Tabell2[[#This Row],[ReisetidOslo]]&lt;=C$434,C$434,IF(Tabell2[[#This Row],[ReisetidOslo]]&gt;=C$435,C$435,Tabell2[[#This Row],[ReisetidOslo]]))</f>
        <v>240.61666666667</v>
      </c>
      <c r="N379" s="24">
        <f>IF(Tabell2[[#This Row],[Beftettland]]&lt;=D$434,D$434,IF(Tabell2[[#This Row],[Beftettland]]&gt;=D$435,D$435,Tabell2[[#This Row],[Beftettland]]))</f>
        <v>41.129032258064512</v>
      </c>
      <c r="O379" s="24">
        <f>IF(Tabell2[[#This Row],[Beftettotal]]&lt;=E$434,E$434,IF(Tabell2[[#This Row],[Beftettotal]]&gt;=E$435,E$435,Tabell2[[#This Row],[Beftettotal]]))</f>
        <v>41.040772532188839</v>
      </c>
      <c r="P379" s="24">
        <f>IF(Tabell2[[#This Row],[Befvekst10]]&lt;=F$434,F$434,IF(Tabell2[[#This Row],[Befvekst10]]&gt;=F$435,F$435,Tabell2[[#This Row],[Befvekst10]]))</f>
        <v>2.2727272727272707E-2</v>
      </c>
      <c r="Q379" s="24">
        <f>IF(Tabell2[[#This Row],[Kvinneandel]]&lt;=G$434,G$434,IF(Tabell2[[#This Row],[Kvinneandel]]&gt;=G$435,G$435,Tabell2[[#This Row],[Kvinneandel]]))</f>
        <v>9.9346405228758164E-2</v>
      </c>
      <c r="R379" s="24">
        <f>IF(Tabell2[[#This Row],[Eldreandel]]&lt;=H$434,H$434,IF(Tabell2[[#This Row],[Eldreandel]]&gt;=H$435,H$435,Tabell2[[#This Row],[Eldreandel]]))</f>
        <v>0.18431372549019609</v>
      </c>
      <c r="S379" s="24">
        <f>IF(Tabell2[[#This Row],[Sysselsettingsvekst10]]&lt;=I$434,I$434,IF(Tabell2[[#This Row],[Sysselsettingsvekst10]]&gt;=I$435,I$435,Tabell2[[#This Row],[Sysselsettingsvekst10]]))</f>
        <v>-3.8147138964577665E-2</v>
      </c>
      <c r="T379" s="24">
        <f>IF(Tabell2[[#This Row],[Yrkesaktivandel]]&lt;=J$434,J$434,IF(Tabell2[[#This Row],[Yrkesaktivandel]]&gt;=J$435,J$435,Tabell2[[#This Row],[Yrkesaktivandel]]))</f>
        <v>0.84543325526932089</v>
      </c>
      <c r="U379" s="24">
        <f>IF(Tabell2[[#This Row],[Inntekt]]&lt;=K$434,K$434,IF(Tabell2[[#This Row],[Inntekt]]&gt;=K$435,K$435,Tabell2[[#This Row],[Inntekt]]))</f>
        <v>367700</v>
      </c>
      <c r="V379" s="7">
        <f>IF(Tabell2[[#This Row],[NIBR11-T]]&lt;=L$437,100,IF(Tabell2[[#This Row],[NIBR11-T]]&gt;=L$436,0,100*(L$436-Tabell2[[#This Row],[NIBR11-T]])/L$439))</f>
        <v>0</v>
      </c>
      <c r="W379" s="7">
        <f>(M$436-Tabell2[[#This Row],[ReisetidOslo-T]])*100/M$439</f>
        <v>17.480073126149588</v>
      </c>
      <c r="X379" s="7">
        <f>100-(N$436-Tabell2[[#This Row],[Beftettland-T]])*100/N$439</f>
        <v>29.385833298672836</v>
      </c>
      <c r="Y379" s="7">
        <f>100-(O$436-Tabell2[[#This Row],[Beftettotal-T]])*100/O$439</f>
        <v>30.405293588788751</v>
      </c>
      <c r="Z379" s="7">
        <f>100-(P$436-Tabell2[[#This Row],[Befvekst10-T]])*100/P$439</f>
        <v>37.962593851401913</v>
      </c>
      <c r="AA379" s="7">
        <f>100-(Q$436-Tabell2[[#This Row],[Kvinneandel-T]])*100/Q$439</f>
        <v>25.809710975364155</v>
      </c>
      <c r="AB379" s="7">
        <f>(R$436-Tabell2[[#This Row],[Eldreandel-T]])*100/R$439</f>
        <v>38.869616497872791</v>
      </c>
      <c r="AC379" s="7">
        <f>100-(S$436-Tabell2[[#This Row],[Sysselsettingsvekst10-T]])*100/S$439</f>
        <v>17.761039235176668</v>
      </c>
      <c r="AD379" s="7">
        <f>100-(T$436-Tabell2[[#This Row],[Yrkesaktivandel-T]])*100/T$439</f>
        <v>32.830714492663432</v>
      </c>
      <c r="AE379" s="7">
        <f>100-(U$436-Tabell2[[#This Row],[Inntekt-T]])*100/U$439</f>
        <v>26.283715156302904</v>
      </c>
      <c r="AF379" s="7">
        <v>0</v>
      </c>
      <c r="AG379" s="7">
        <v>1.7480073126149589</v>
      </c>
      <c r="AH379" s="7">
        <v>3.0405293588788753</v>
      </c>
      <c r="AI379" s="7">
        <v>7.5925187702803827</v>
      </c>
      <c r="AJ379" s="7">
        <v>1.2904855487682079</v>
      </c>
      <c r="AK379" s="7">
        <v>1.9434808248936397</v>
      </c>
      <c r="AL379" s="7">
        <v>1.7761039235176668</v>
      </c>
      <c r="AM379" s="7">
        <v>3.2830714492663433</v>
      </c>
      <c r="AN379" s="7">
        <v>2.6283715156302905</v>
      </c>
      <c r="AO37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23.302568703850369</v>
      </c>
    </row>
    <row r="380" spans="1:41" x14ac:dyDescent="0.3">
      <c r="A380" s="2" t="s">
        <v>377</v>
      </c>
      <c r="B380">
        <f>'Rådata-K'!N379</f>
        <v>9</v>
      </c>
      <c r="C380" s="7">
        <f>'Rådata-K'!M379</f>
        <v>261.35000000000002</v>
      </c>
      <c r="D380" s="24">
        <f>'Rådata-K'!O379</f>
        <v>7.9020524043295683</v>
      </c>
      <c r="E380" s="24">
        <f>'Rådata-K'!P379</f>
        <v>7.4896288821616777</v>
      </c>
      <c r="F380" s="24">
        <f>'Rådata-K'!Q379</f>
        <v>-8.1155433287482759E-2</v>
      </c>
      <c r="G380" s="24">
        <f>'Rådata-K'!R379</f>
        <v>9.880239520958084E-2</v>
      </c>
      <c r="H380" s="24">
        <f>'Rådata-K'!S379</f>
        <v>0.21107784431137724</v>
      </c>
      <c r="I380" s="24">
        <f>'Rådata-K'!T379</f>
        <v>-5.6313993174061383E-2</v>
      </c>
      <c r="J380" s="24">
        <f>'Rådata-K'!U379</f>
        <v>0.88423988842398882</v>
      </c>
      <c r="K380" s="24">
        <f>'Rådata-K'!L379</f>
        <v>357400</v>
      </c>
      <c r="L380" s="24">
        <f>Tabell2[[#This Row],[NIBR11]]</f>
        <v>9</v>
      </c>
      <c r="M380" s="24">
        <f>IF(Tabell2[[#This Row],[ReisetidOslo]]&lt;=C$434,C$434,IF(Tabell2[[#This Row],[ReisetidOslo]]&gt;=C$435,C$435,Tabell2[[#This Row],[ReisetidOslo]]))</f>
        <v>261.35000000000002</v>
      </c>
      <c r="N380" s="24">
        <f>IF(Tabell2[[#This Row],[Beftettland]]&lt;=D$434,D$434,IF(Tabell2[[#This Row],[Beftettland]]&gt;=D$435,D$435,Tabell2[[#This Row],[Beftettland]]))</f>
        <v>7.9020524043295683</v>
      </c>
      <c r="O380" s="24">
        <f>IF(Tabell2[[#This Row],[Beftettotal]]&lt;=E$434,E$434,IF(Tabell2[[#This Row],[Beftettotal]]&gt;=E$435,E$435,Tabell2[[#This Row],[Beftettotal]]))</f>
        <v>7.4896288821616777</v>
      </c>
      <c r="P380" s="24">
        <f>IF(Tabell2[[#This Row],[Befvekst10]]&lt;=F$434,F$434,IF(Tabell2[[#This Row],[Befvekst10]]&gt;=F$435,F$435,Tabell2[[#This Row],[Befvekst10]]))</f>
        <v>-7.1062862685144085E-2</v>
      </c>
      <c r="Q380" s="24">
        <f>IF(Tabell2[[#This Row],[Kvinneandel]]&lt;=G$434,G$434,IF(Tabell2[[#This Row],[Kvinneandel]]&gt;=G$435,G$435,Tabell2[[#This Row],[Kvinneandel]]))</f>
        <v>9.880239520958084E-2</v>
      </c>
      <c r="R380" s="24">
        <f>IF(Tabell2[[#This Row],[Eldreandel]]&lt;=H$434,H$434,IF(Tabell2[[#This Row],[Eldreandel]]&gt;=H$435,H$435,Tabell2[[#This Row],[Eldreandel]]))</f>
        <v>0.21107784431137724</v>
      </c>
      <c r="S380" s="24">
        <f>IF(Tabell2[[#This Row],[Sysselsettingsvekst10]]&lt;=I$434,I$434,IF(Tabell2[[#This Row],[Sysselsettingsvekst10]]&gt;=I$435,I$435,Tabell2[[#This Row],[Sysselsettingsvekst10]]))</f>
        <v>-5.6313993174061383E-2</v>
      </c>
      <c r="T380" s="24">
        <f>IF(Tabell2[[#This Row],[Yrkesaktivandel]]&lt;=J$434,J$434,IF(Tabell2[[#This Row],[Yrkesaktivandel]]&gt;=J$435,J$435,Tabell2[[#This Row],[Yrkesaktivandel]]))</f>
        <v>0.88423988842398882</v>
      </c>
      <c r="U380" s="24">
        <f>IF(Tabell2[[#This Row],[Inntekt]]&lt;=K$434,K$434,IF(Tabell2[[#This Row],[Inntekt]]&gt;=K$435,K$435,Tabell2[[#This Row],[Inntekt]]))</f>
        <v>357400</v>
      </c>
      <c r="V380" s="7">
        <f>IF(Tabell2[[#This Row],[NIBR11-T]]&lt;=L$437,100,IF(Tabell2[[#This Row],[NIBR11-T]]&gt;=L$436,0,100*(L$436-Tabell2[[#This Row],[NIBR11-T]])/L$439))</f>
        <v>20</v>
      </c>
      <c r="W380" s="7">
        <f>(M$436-Tabell2[[#This Row],[ReisetidOslo-T]])*100/M$439</f>
        <v>8.3831809872122989</v>
      </c>
      <c r="X380" s="7">
        <f>100-(N$436-Tabell2[[#This Row],[Beftettland-T]])*100/N$439</f>
        <v>4.8077119018489753</v>
      </c>
      <c r="Y380" s="7">
        <f>100-(O$436-Tabell2[[#This Row],[Beftettotal-T]])*100/O$439</f>
        <v>4.7239543236561445</v>
      </c>
      <c r="Z380" s="7">
        <f>100-(P$436-Tabell2[[#This Row],[Befvekst10-T]])*100/P$439</f>
        <v>0</v>
      </c>
      <c r="AA380" s="7">
        <f>100-(Q$436-Tabell2[[#This Row],[Kvinneandel-T]])*100/Q$439</f>
        <v>24.380567674932138</v>
      </c>
      <c r="AB380" s="7">
        <f>(R$436-Tabell2[[#This Row],[Eldreandel-T]])*100/R$439</f>
        <v>9.9843118863820681</v>
      </c>
      <c r="AC380" s="7">
        <f>100-(S$436-Tabell2[[#This Row],[Sysselsettingsvekst10-T]])*100/S$439</f>
        <v>11.832262731732754</v>
      </c>
      <c r="AD380" s="7">
        <f>100-(T$436-Tabell2[[#This Row],[Yrkesaktivandel-T]])*100/T$439</f>
        <v>60.200793126090012</v>
      </c>
      <c r="AE380" s="7">
        <f>100-(U$436-Tabell2[[#This Row],[Inntekt-T]])*100/U$439</f>
        <v>14.659744949779935</v>
      </c>
      <c r="AF380" s="7">
        <v>4</v>
      </c>
      <c r="AG380" s="7">
        <v>0.83831809872122998</v>
      </c>
      <c r="AH380" s="7">
        <v>0.47239543236561449</v>
      </c>
      <c r="AI380" s="7">
        <v>0</v>
      </c>
      <c r="AJ380" s="7">
        <v>1.2190283837466069</v>
      </c>
      <c r="AK380" s="7">
        <v>0.49921559431910345</v>
      </c>
      <c r="AL380" s="7">
        <v>1.1832262731732754</v>
      </c>
      <c r="AM380" s="7">
        <v>6.0200793126090018</v>
      </c>
      <c r="AN380" s="7">
        <v>1.4659744949779936</v>
      </c>
      <c r="AO38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15.698237589912827</v>
      </c>
    </row>
    <row r="381" spans="1:41" x14ac:dyDescent="0.3">
      <c r="A381" s="2" t="s">
        <v>378</v>
      </c>
      <c r="B381">
        <f>'Rådata-K'!N380</f>
        <v>9</v>
      </c>
      <c r="C381" s="7">
        <f>'Rådata-K'!M380</f>
        <v>236.46666666666999</v>
      </c>
      <c r="D381" s="24">
        <f>'Rådata-K'!O380</f>
        <v>27.518246381441525</v>
      </c>
      <c r="E381" s="24">
        <f>'Rådata-K'!P380</f>
        <v>26.371193745142829</v>
      </c>
      <c r="F381" s="24">
        <f>'Rådata-K'!Q380</f>
        <v>3.7139946281374403E-2</v>
      </c>
      <c r="G381" s="24">
        <f>'Rådata-K'!R380</f>
        <v>0.11421682443293445</v>
      </c>
      <c r="H381" s="24">
        <f>'Rådata-K'!S380</f>
        <v>0.16074298981961063</v>
      </c>
      <c r="I381" s="24">
        <f>'Rådata-K'!T380</f>
        <v>0.12694243817027795</v>
      </c>
      <c r="J381" s="24">
        <f>'Rådata-K'!U380</f>
        <v>0.83449698508410031</v>
      </c>
      <c r="K381" s="24">
        <f>'Rådata-K'!L380</f>
        <v>367900</v>
      </c>
      <c r="L381" s="24">
        <f>Tabell2[[#This Row],[NIBR11]]</f>
        <v>9</v>
      </c>
      <c r="M381" s="24">
        <f>IF(Tabell2[[#This Row],[ReisetidOslo]]&lt;=C$434,C$434,IF(Tabell2[[#This Row],[ReisetidOslo]]&gt;=C$435,C$435,Tabell2[[#This Row],[ReisetidOslo]]))</f>
        <v>236.46666666666999</v>
      </c>
      <c r="N381" s="24">
        <f>IF(Tabell2[[#This Row],[Beftettland]]&lt;=D$434,D$434,IF(Tabell2[[#This Row],[Beftettland]]&gt;=D$435,D$435,Tabell2[[#This Row],[Beftettland]]))</f>
        <v>27.518246381441525</v>
      </c>
      <c r="O381" s="24">
        <f>IF(Tabell2[[#This Row],[Beftettotal]]&lt;=E$434,E$434,IF(Tabell2[[#This Row],[Beftettotal]]&gt;=E$435,E$435,Tabell2[[#This Row],[Beftettotal]]))</f>
        <v>26.371193745142829</v>
      </c>
      <c r="P381" s="24">
        <f>IF(Tabell2[[#This Row],[Befvekst10]]&lt;=F$434,F$434,IF(Tabell2[[#This Row],[Befvekst10]]&gt;=F$435,F$435,Tabell2[[#This Row],[Befvekst10]]))</f>
        <v>3.7139946281374403E-2</v>
      </c>
      <c r="Q381" s="24">
        <f>IF(Tabell2[[#This Row],[Kvinneandel]]&lt;=G$434,G$434,IF(Tabell2[[#This Row],[Kvinneandel]]&gt;=G$435,G$435,Tabell2[[#This Row],[Kvinneandel]]))</f>
        <v>0.11421682443293445</v>
      </c>
      <c r="R381" s="24">
        <f>IF(Tabell2[[#This Row],[Eldreandel]]&lt;=H$434,H$434,IF(Tabell2[[#This Row],[Eldreandel]]&gt;=H$435,H$435,Tabell2[[#This Row],[Eldreandel]]))</f>
        <v>0.16074298981961063</v>
      </c>
      <c r="S381" s="24">
        <f>IF(Tabell2[[#This Row],[Sysselsettingsvekst10]]&lt;=I$434,I$434,IF(Tabell2[[#This Row],[Sysselsettingsvekst10]]&gt;=I$435,I$435,Tabell2[[#This Row],[Sysselsettingsvekst10]]))</f>
        <v>0.12694243817027795</v>
      </c>
      <c r="T381" s="24">
        <f>IF(Tabell2[[#This Row],[Yrkesaktivandel]]&lt;=J$434,J$434,IF(Tabell2[[#This Row],[Yrkesaktivandel]]&gt;=J$435,J$435,Tabell2[[#This Row],[Yrkesaktivandel]]))</f>
        <v>0.83449698508410031</v>
      </c>
      <c r="U381" s="24">
        <f>IF(Tabell2[[#This Row],[Inntekt]]&lt;=K$434,K$434,IF(Tabell2[[#This Row],[Inntekt]]&gt;=K$435,K$435,Tabell2[[#This Row],[Inntekt]]))</f>
        <v>367900</v>
      </c>
      <c r="V381" s="7">
        <f>IF(Tabell2[[#This Row],[NIBR11-T]]&lt;=L$437,100,IF(Tabell2[[#This Row],[NIBR11-T]]&gt;=L$436,0,100*(L$436-Tabell2[[#This Row],[NIBR11-T]])/L$439))</f>
        <v>20</v>
      </c>
      <c r="W381" s="7">
        <f>(M$436-Tabell2[[#This Row],[ReisetidOslo-T]])*100/M$439</f>
        <v>19.300914076789255</v>
      </c>
      <c r="X381" s="7">
        <f>100-(N$436-Tabell2[[#This Row],[Beftettland-T]])*100/N$439</f>
        <v>19.317884028097993</v>
      </c>
      <c r="Y381" s="7">
        <f>100-(O$436-Tabell2[[#This Row],[Beftettotal-T]])*100/O$439</f>
        <v>19.176632246080217</v>
      </c>
      <c r="Z381" s="7">
        <f>100-(P$436-Tabell2[[#This Row],[Befvekst10-T]])*100/P$439</f>
        <v>43.796282757397115</v>
      </c>
      <c r="AA381" s="7">
        <f>100-(Q$436-Tabell2[[#This Row],[Kvinneandel-T]])*100/Q$439</f>
        <v>64.875094389445735</v>
      </c>
      <c r="AB381" s="7">
        <f>(R$436-Tabell2[[#This Row],[Eldreandel-T]])*100/R$439</f>
        <v>64.308446907748532</v>
      </c>
      <c r="AC381" s="7">
        <f>100-(S$436-Tabell2[[#This Row],[Sysselsettingsvekst10-T]])*100/S$439</f>
        <v>71.638237488337523</v>
      </c>
      <c r="AD381" s="7">
        <f>100-(T$436-Tabell2[[#This Row],[Yrkesaktivandel-T]])*100/T$439</f>
        <v>25.117430690564731</v>
      </c>
      <c r="AE381" s="7">
        <f>100-(U$436-Tabell2[[#This Row],[Inntekt-T]])*100/U$439</f>
        <v>26.509423315652867</v>
      </c>
      <c r="AF381" s="7">
        <v>4</v>
      </c>
      <c r="AG381" s="7">
        <v>1.9300914076789255</v>
      </c>
      <c r="AH381" s="7">
        <v>1.9176632246080219</v>
      </c>
      <c r="AI381" s="7">
        <v>8.7592565514794227</v>
      </c>
      <c r="AJ381" s="7">
        <v>3.2437547194722871</v>
      </c>
      <c r="AK381" s="7">
        <v>3.2154223453874269</v>
      </c>
      <c r="AL381" s="7">
        <v>7.1638237488337531</v>
      </c>
      <c r="AM381" s="7">
        <v>2.5117430690564735</v>
      </c>
      <c r="AN381" s="7">
        <v>2.6509423315652869</v>
      </c>
      <c r="AO38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35.392697398081602</v>
      </c>
    </row>
    <row r="382" spans="1:41" x14ac:dyDescent="0.3">
      <c r="A382" s="2" t="s">
        <v>379</v>
      </c>
      <c r="B382">
        <f>'Rådata-K'!N381</f>
        <v>7</v>
      </c>
      <c r="C382" s="7">
        <f>'Rådata-K'!M381</f>
        <v>240.08333333333002</v>
      </c>
      <c r="D382" s="24">
        <f>'Rådata-K'!O381</f>
        <v>20.302694721299375</v>
      </c>
      <c r="E382" s="24">
        <f>'Rådata-K'!P381</f>
        <v>19.51372221642492</v>
      </c>
      <c r="F382" s="24">
        <f>'Rådata-K'!Q381</f>
        <v>3.6470457820640734E-2</v>
      </c>
      <c r="G382" s="24">
        <f>'Rådata-K'!R381</f>
        <v>0.11529411764705882</v>
      </c>
      <c r="H382" s="24">
        <f>'Rådata-K'!S381</f>
        <v>0.1625668449197861</v>
      </c>
      <c r="I382" s="24">
        <f>'Rådata-K'!T381</f>
        <v>8.7518283764017601E-2</v>
      </c>
      <c r="J382" s="24">
        <f>'Rådata-K'!U381</f>
        <v>0.86040892193308549</v>
      </c>
      <c r="K382" s="24">
        <f>'Rådata-K'!L381</f>
        <v>370300</v>
      </c>
      <c r="L382" s="24">
        <f>Tabell2[[#This Row],[NIBR11]]</f>
        <v>7</v>
      </c>
      <c r="M382" s="24">
        <f>IF(Tabell2[[#This Row],[ReisetidOslo]]&lt;=C$434,C$434,IF(Tabell2[[#This Row],[ReisetidOslo]]&gt;=C$435,C$435,Tabell2[[#This Row],[ReisetidOslo]]))</f>
        <v>240.08333333333002</v>
      </c>
      <c r="N382" s="24">
        <f>IF(Tabell2[[#This Row],[Beftettland]]&lt;=D$434,D$434,IF(Tabell2[[#This Row],[Beftettland]]&gt;=D$435,D$435,Tabell2[[#This Row],[Beftettland]]))</f>
        <v>20.302694721299375</v>
      </c>
      <c r="O382" s="24">
        <f>IF(Tabell2[[#This Row],[Beftettotal]]&lt;=E$434,E$434,IF(Tabell2[[#This Row],[Beftettotal]]&gt;=E$435,E$435,Tabell2[[#This Row],[Beftettotal]]))</f>
        <v>19.51372221642492</v>
      </c>
      <c r="P382" s="24">
        <f>IF(Tabell2[[#This Row],[Befvekst10]]&lt;=F$434,F$434,IF(Tabell2[[#This Row],[Befvekst10]]&gt;=F$435,F$435,Tabell2[[#This Row],[Befvekst10]]))</f>
        <v>3.6470457820640734E-2</v>
      </c>
      <c r="Q382" s="24">
        <f>IF(Tabell2[[#This Row],[Kvinneandel]]&lt;=G$434,G$434,IF(Tabell2[[#This Row],[Kvinneandel]]&gt;=G$435,G$435,Tabell2[[#This Row],[Kvinneandel]]))</f>
        <v>0.11529411764705882</v>
      </c>
      <c r="R382" s="24">
        <f>IF(Tabell2[[#This Row],[Eldreandel]]&lt;=H$434,H$434,IF(Tabell2[[#This Row],[Eldreandel]]&gt;=H$435,H$435,Tabell2[[#This Row],[Eldreandel]]))</f>
        <v>0.1625668449197861</v>
      </c>
      <c r="S382" s="24">
        <f>IF(Tabell2[[#This Row],[Sysselsettingsvekst10]]&lt;=I$434,I$434,IF(Tabell2[[#This Row],[Sysselsettingsvekst10]]&gt;=I$435,I$435,Tabell2[[#This Row],[Sysselsettingsvekst10]]))</f>
        <v>8.7518283764017601E-2</v>
      </c>
      <c r="T382" s="24">
        <f>IF(Tabell2[[#This Row],[Yrkesaktivandel]]&lt;=J$434,J$434,IF(Tabell2[[#This Row],[Yrkesaktivandel]]&gt;=J$435,J$435,Tabell2[[#This Row],[Yrkesaktivandel]]))</f>
        <v>0.86040892193308549</v>
      </c>
      <c r="U382" s="24">
        <f>IF(Tabell2[[#This Row],[Inntekt]]&lt;=K$434,K$434,IF(Tabell2[[#This Row],[Inntekt]]&gt;=K$435,K$435,Tabell2[[#This Row],[Inntekt]]))</f>
        <v>370300</v>
      </c>
      <c r="V382" s="7">
        <f>IF(Tabell2[[#This Row],[NIBR11-T]]&lt;=L$437,100,IF(Tabell2[[#This Row],[NIBR11-T]]&gt;=L$436,0,100*(L$436-Tabell2[[#This Row],[NIBR11-T]])/L$439))</f>
        <v>40</v>
      </c>
      <c r="W382" s="7">
        <f>(M$436-Tabell2[[#This Row],[ReisetidOslo-T]])*100/M$439</f>
        <v>17.71407678245961</v>
      </c>
      <c r="X382" s="7">
        <f>100-(N$436-Tabell2[[#This Row],[Beftettland-T]])*100/N$439</f>
        <v>13.980513450672703</v>
      </c>
      <c r="Y382" s="7">
        <f>100-(O$436-Tabell2[[#This Row],[Beftettotal-T]])*100/O$439</f>
        <v>13.927659076432406</v>
      </c>
      <c r="Z382" s="7">
        <f>100-(P$436-Tabell2[[#This Row],[Befvekst10-T]])*100/P$439</f>
        <v>43.525299903909655</v>
      </c>
      <c r="AA382" s="7">
        <f>100-(Q$436-Tabell2[[#This Row],[Kvinneandel-T]])*100/Q$439</f>
        <v>67.70520105162629</v>
      </c>
      <c r="AB382" s="7">
        <f>(R$436-Tabell2[[#This Row],[Eldreandel-T]])*100/R$439</f>
        <v>62.340042474642509</v>
      </c>
      <c r="AC382" s="7">
        <f>100-(S$436-Tabell2[[#This Row],[Sysselsettingsvekst10-T]])*100/S$439</f>
        <v>58.772113413319481</v>
      </c>
      <c r="AD382" s="7">
        <f>100-(T$436-Tabell2[[#This Row],[Yrkesaktivandel-T]])*100/T$439</f>
        <v>43.392959677438455</v>
      </c>
      <c r="AE382" s="7">
        <f>100-(U$436-Tabell2[[#This Row],[Inntekt-T]])*100/U$439</f>
        <v>29.217921227852386</v>
      </c>
      <c r="AF382" s="7">
        <v>8</v>
      </c>
      <c r="AG382" s="7">
        <v>1.7714076782459611</v>
      </c>
      <c r="AH382" s="7">
        <v>1.3927659076432406</v>
      </c>
      <c r="AI382" s="7">
        <v>8.7050599807819307</v>
      </c>
      <c r="AJ382" s="7">
        <v>3.3852600525813146</v>
      </c>
      <c r="AK382" s="7">
        <v>3.1170021237321257</v>
      </c>
      <c r="AL382" s="7">
        <v>5.8772113413319484</v>
      </c>
      <c r="AM382" s="7">
        <v>4.3392959677438458</v>
      </c>
      <c r="AN382" s="7">
        <v>2.9217921227852388</v>
      </c>
      <c r="AO38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39.509795174845607</v>
      </c>
    </row>
    <row r="383" spans="1:41" x14ac:dyDescent="0.3">
      <c r="A383" s="2" t="s">
        <v>380</v>
      </c>
      <c r="B383">
        <f>'Rådata-K'!N382</f>
        <v>8</v>
      </c>
      <c r="C383" s="7">
        <f>'Rådata-K'!M382</f>
        <v>249.01666666667001</v>
      </c>
      <c r="D383" s="24">
        <f>'Rådata-K'!O382</f>
        <v>14.66441674378096</v>
      </c>
      <c r="E383" s="24">
        <f>'Rådata-K'!P382</f>
        <v>14.265038124823498</v>
      </c>
      <c r="F383" s="24">
        <f>'Rådata-K'!Q382</f>
        <v>1.0123734533183271E-2</v>
      </c>
      <c r="G383" s="24">
        <f>'Rådata-K'!R382</f>
        <v>0.10851274437020539</v>
      </c>
      <c r="H383" s="24">
        <f>'Rådata-K'!S382</f>
        <v>0.18708240534521159</v>
      </c>
      <c r="I383" s="24">
        <f>'Rådata-K'!T382</f>
        <v>1.7216642754662725E-3</v>
      </c>
      <c r="J383" s="24">
        <f>'Rådata-K'!U382</f>
        <v>0.82402669632925474</v>
      </c>
      <c r="K383" s="24">
        <f>'Rådata-K'!L382</f>
        <v>371700</v>
      </c>
      <c r="L383" s="24">
        <f>Tabell2[[#This Row],[NIBR11]]</f>
        <v>8</v>
      </c>
      <c r="M383" s="24">
        <f>IF(Tabell2[[#This Row],[ReisetidOslo]]&lt;=C$434,C$434,IF(Tabell2[[#This Row],[ReisetidOslo]]&gt;=C$435,C$435,Tabell2[[#This Row],[ReisetidOslo]]))</f>
        <v>249.01666666667001</v>
      </c>
      <c r="N383" s="24">
        <f>IF(Tabell2[[#This Row],[Beftettland]]&lt;=D$434,D$434,IF(Tabell2[[#This Row],[Beftettland]]&gt;=D$435,D$435,Tabell2[[#This Row],[Beftettland]]))</f>
        <v>14.66441674378096</v>
      </c>
      <c r="O383" s="24">
        <f>IF(Tabell2[[#This Row],[Beftettotal]]&lt;=E$434,E$434,IF(Tabell2[[#This Row],[Beftettotal]]&gt;=E$435,E$435,Tabell2[[#This Row],[Beftettotal]]))</f>
        <v>14.265038124823498</v>
      </c>
      <c r="P383" s="24">
        <f>IF(Tabell2[[#This Row],[Befvekst10]]&lt;=F$434,F$434,IF(Tabell2[[#This Row],[Befvekst10]]&gt;=F$435,F$435,Tabell2[[#This Row],[Befvekst10]]))</f>
        <v>1.0123734533183271E-2</v>
      </c>
      <c r="Q383" s="24">
        <f>IF(Tabell2[[#This Row],[Kvinneandel]]&lt;=G$434,G$434,IF(Tabell2[[#This Row],[Kvinneandel]]&gt;=G$435,G$435,Tabell2[[#This Row],[Kvinneandel]]))</f>
        <v>0.10851274437020539</v>
      </c>
      <c r="R383" s="24">
        <f>IF(Tabell2[[#This Row],[Eldreandel]]&lt;=H$434,H$434,IF(Tabell2[[#This Row],[Eldreandel]]&gt;=H$435,H$435,Tabell2[[#This Row],[Eldreandel]]))</f>
        <v>0.18708240534521159</v>
      </c>
      <c r="S383" s="24">
        <f>IF(Tabell2[[#This Row],[Sysselsettingsvekst10]]&lt;=I$434,I$434,IF(Tabell2[[#This Row],[Sysselsettingsvekst10]]&gt;=I$435,I$435,Tabell2[[#This Row],[Sysselsettingsvekst10]]))</f>
        <v>1.7216642754662725E-3</v>
      </c>
      <c r="T383" s="24">
        <f>IF(Tabell2[[#This Row],[Yrkesaktivandel]]&lt;=J$434,J$434,IF(Tabell2[[#This Row],[Yrkesaktivandel]]&gt;=J$435,J$435,Tabell2[[#This Row],[Yrkesaktivandel]]))</f>
        <v>0.82402669632925474</v>
      </c>
      <c r="U383" s="24">
        <f>IF(Tabell2[[#This Row],[Inntekt]]&lt;=K$434,K$434,IF(Tabell2[[#This Row],[Inntekt]]&gt;=K$435,K$435,Tabell2[[#This Row],[Inntekt]]))</f>
        <v>371700</v>
      </c>
      <c r="V383" s="7">
        <f>IF(Tabell2[[#This Row],[NIBR11-T]]&lt;=L$437,100,IF(Tabell2[[#This Row],[NIBR11-T]]&gt;=L$436,0,100*(L$436-Tabell2[[#This Row],[NIBR11-T]])/L$439))</f>
        <v>30</v>
      </c>
      <c r="W383" s="7">
        <f>(M$436-Tabell2[[#This Row],[ReisetidOslo-T]])*100/M$439</f>
        <v>13.794515539312668</v>
      </c>
      <c r="X383" s="7">
        <f>100-(N$436-Tabell2[[#This Row],[Beftettland-T]])*100/N$439</f>
        <v>9.8098581214641172</v>
      </c>
      <c r="Y383" s="7">
        <f>100-(O$436-Tabell2[[#This Row],[Beftettotal-T]])*100/O$439</f>
        <v>9.9101138547865304</v>
      </c>
      <c r="Z383" s="7">
        <f>100-(P$436-Tabell2[[#This Row],[Befvekst10-T]])*100/P$439</f>
        <v>32.861172476446683</v>
      </c>
      <c r="AA383" s="7">
        <f>100-(Q$436-Tabell2[[#This Row],[Kvinneandel-T]])*100/Q$439</f>
        <v>49.890172201606674</v>
      </c>
      <c r="AB383" s="7">
        <f>(R$436-Tabell2[[#This Row],[Eldreandel-T]])*100/R$439</f>
        <v>35.88150538096469</v>
      </c>
      <c r="AC383" s="7">
        <f>100-(S$436-Tabell2[[#This Row],[Sysselsettingsvekst10-T]])*100/S$439</f>
        <v>30.772275035517168</v>
      </c>
      <c r="AD383" s="7">
        <f>100-(T$436-Tabell2[[#This Row],[Yrkesaktivandel-T]])*100/T$439</f>
        <v>17.732800712678227</v>
      </c>
      <c r="AE383" s="7">
        <f>100-(U$436-Tabell2[[#This Row],[Inntekt-T]])*100/U$439</f>
        <v>30.797878343302116</v>
      </c>
      <c r="AF383" s="7">
        <v>6</v>
      </c>
      <c r="AG383" s="7">
        <v>1.3794515539312668</v>
      </c>
      <c r="AH383" s="7">
        <v>0.99101138547865308</v>
      </c>
      <c r="AI383" s="7">
        <v>6.5722344952893366</v>
      </c>
      <c r="AJ383" s="7">
        <v>2.494508610080334</v>
      </c>
      <c r="AK383" s="7">
        <v>1.7940752690482347</v>
      </c>
      <c r="AL383" s="7">
        <v>3.0772275035517169</v>
      </c>
      <c r="AM383" s="7">
        <v>1.7732800712678227</v>
      </c>
      <c r="AN383" s="7">
        <v>3.0797878343302116</v>
      </c>
      <c r="AO38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27.161576722977578</v>
      </c>
    </row>
    <row r="384" spans="1:41" x14ac:dyDescent="0.3">
      <c r="A384" s="2" t="s">
        <v>381</v>
      </c>
      <c r="B384">
        <f>'Rådata-K'!N383</f>
        <v>8</v>
      </c>
      <c r="C384" s="7">
        <f>'Rådata-K'!M383</f>
        <v>306.21666666670001</v>
      </c>
      <c r="D384" s="24">
        <f>'Rådata-K'!O383</f>
        <v>11.207153502235469</v>
      </c>
      <c r="E384" s="24">
        <f>'Rådata-K'!P383</f>
        <v>10.669693530079455</v>
      </c>
      <c r="F384" s="24">
        <f>'Rådata-K'!Q383</f>
        <v>-0.1065852002715546</v>
      </c>
      <c r="G384" s="24">
        <f>'Rådata-K'!R383</f>
        <v>7.9407294832826741E-2</v>
      </c>
      <c r="H384" s="24">
        <f>'Rådata-K'!S383</f>
        <v>0.2560790273556231</v>
      </c>
      <c r="I384" s="24">
        <f>'Rådata-K'!T383</f>
        <v>-7.9317269076305208E-2</v>
      </c>
      <c r="J384" s="24">
        <f>'Rådata-K'!U383</f>
        <v>0.76300578034682076</v>
      </c>
      <c r="K384" s="24">
        <f>'Rådata-K'!L383</f>
        <v>329800</v>
      </c>
      <c r="L384" s="24">
        <f>Tabell2[[#This Row],[NIBR11]]</f>
        <v>8</v>
      </c>
      <c r="M384" s="24">
        <f>IF(Tabell2[[#This Row],[ReisetidOslo]]&lt;=C$434,C$434,IF(Tabell2[[#This Row],[ReisetidOslo]]&gt;=C$435,C$435,Tabell2[[#This Row],[ReisetidOslo]]))</f>
        <v>280.45666666669001</v>
      </c>
      <c r="N384" s="24">
        <f>IF(Tabell2[[#This Row],[Beftettland]]&lt;=D$434,D$434,IF(Tabell2[[#This Row],[Beftettland]]&gt;=D$435,D$435,Tabell2[[#This Row],[Beftettland]]))</f>
        <v>11.207153502235469</v>
      </c>
      <c r="O384" s="24">
        <f>IF(Tabell2[[#This Row],[Beftettotal]]&lt;=E$434,E$434,IF(Tabell2[[#This Row],[Beftettotal]]&gt;=E$435,E$435,Tabell2[[#This Row],[Beftettotal]]))</f>
        <v>10.669693530079455</v>
      </c>
      <c r="P384" s="24">
        <f>IF(Tabell2[[#This Row],[Befvekst10]]&lt;=F$434,F$434,IF(Tabell2[[#This Row],[Befvekst10]]&gt;=F$435,F$435,Tabell2[[#This Row],[Befvekst10]]))</f>
        <v>-7.1062862685144085E-2</v>
      </c>
      <c r="Q384" s="24">
        <f>IF(Tabell2[[#This Row],[Kvinneandel]]&lt;=G$434,G$434,IF(Tabell2[[#This Row],[Kvinneandel]]&gt;=G$435,G$435,Tabell2[[#This Row],[Kvinneandel]]))</f>
        <v>8.9521819157910881E-2</v>
      </c>
      <c r="R384" s="24">
        <f>IF(Tabell2[[#This Row],[Eldreandel]]&lt;=H$434,H$434,IF(Tabell2[[#This Row],[Eldreandel]]&gt;=H$435,H$435,Tabell2[[#This Row],[Eldreandel]]))</f>
        <v>0.22032896051974013</v>
      </c>
      <c r="S384" s="24">
        <f>IF(Tabell2[[#This Row],[Sysselsettingsvekst10]]&lt;=I$434,I$434,IF(Tabell2[[#This Row],[Sysselsettingsvekst10]]&gt;=I$435,I$435,Tabell2[[#This Row],[Sysselsettingsvekst10]]))</f>
        <v>-7.9317269076305208E-2</v>
      </c>
      <c r="T384" s="24">
        <f>IF(Tabell2[[#This Row],[Yrkesaktivandel]]&lt;=J$434,J$434,IF(Tabell2[[#This Row],[Yrkesaktivandel]]&gt;=J$435,J$435,Tabell2[[#This Row],[Yrkesaktivandel]]))</f>
        <v>0.79888426611272945</v>
      </c>
      <c r="U384" s="24">
        <f>IF(Tabell2[[#This Row],[Inntekt]]&lt;=K$434,K$434,IF(Tabell2[[#This Row],[Inntekt]]&gt;=K$435,K$435,Tabell2[[#This Row],[Inntekt]]))</f>
        <v>344410</v>
      </c>
      <c r="V384" s="7">
        <f>IF(Tabell2[[#This Row],[NIBR11-T]]&lt;=L$437,100,IF(Tabell2[[#This Row],[NIBR11-T]]&gt;=L$436,0,100*(L$436-Tabell2[[#This Row],[NIBR11-T]])/L$439))</f>
        <v>30</v>
      </c>
      <c r="W384" s="7">
        <f>(M$436-Tabell2[[#This Row],[ReisetidOslo-T]])*100/M$439</f>
        <v>0</v>
      </c>
      <c r="X384" s="7">
        <f>100-(N$436-Tabell2[[#This Row],[Beftettland-T]])*100/N$439</f>
        <v>7.2525075579903273</v>
      </c>
      <c r="Y384" s="7">
        <f>100-(O$436-Tabell2[[#This Row],[Beftettotal-T]])*100/O$439</f>
        <v>7.1580984458391441</v>
      </c>
      <c r="Z384" s="7">
        <f>100-(P$436-Tabell2[[#This Row],[Befvekst10-T]])*100/P$439</f>
        <v>0</v>
      </c>
      <c r="AA384" s="7">
        <f>100-(Q$436-Tabell2[[#This Row],[Kvinneandel-T]])*100/Q$439</f>
        <v>0</v>
      </c>
      <c r="AB384" s="7">
        <f>(R$436-Tabell2[[#This Row],[Eldreandel-T]])*100/R$439</f>
        <v>0</v>
      </c>
      <c r="AC384" s="7">
        <f>100-(S$436-Tabell2[[#This Row],[Sysselsettingsvekst10-T]])*100/S$439</f>
        <v>4.3251137174435854</v>
      </c>
      <c r="AD384" s="7">
        <f>100-(T$436-Tabell2[[#This Row],[Yrkesaktivandel-T]])*100/T$439</f>
        <v>0</v>
      </c>
      <c r="AE384" s="7">
        <f>100-(U$436-Tabell2[[#This Row],[Inntekt-T]])*100/U$439</f>
        <v>0</v>
      </c>
      <c r="AF384" s="7">
        <v>6</v>
      </c>
      <c r="AG384" s="7">
        <v>0</v>
      </c>
      <c r="AH384" s="7">
        <v>0.7158098445839145</v>
      </c>
      <c r="AI384" s="7">
        <v>0</v>
      </c>
      <c r="AJ384" s="7">
        <v>0</v>
      </c>
      <c r="AK384" s="7">
        <v>0</v>
      </c>
      <c r="AL384" s="7">
        <v>0.43251137174435855</v>
      </c>
      <c r="AM384" s="7">
        <v>0</v>
      </c>
      <c r="AN384" s="7">
        <v>0</v>
      </c>
      <c r="AO38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7.1483212163282728</v>
      </c>
    </row>
    <row r="385" spans="1:41" x14ac:dyDescent="0.3">
      <c r="A385" s="2" t="s">
        <v>382</v>
      </c>
      <c r="B385">
        <f>'Rådata-K'!N384</f>
        <v>8</v>
      </c>
      <c r="C385" s="7">
        <f>'Rådata-K'!M384</f>
        <v>294.8333333333</v>
      </c>
      <c r="D385" s="24">
        <f>'Rådata-K'!O384</f>
        <v>14.580047001255513</v>
      </c>
      <c r="E385" s="24">
        <f>'Rådata-K'!P384</f>
        <v>14.174830208757159</v>
      </c>
      <c r="F385" s="24">
        <f>'Rådata-K'!Q384</f>
        <v>-8.3205605430261009E-3</v>
      </c>
      <c r="G385" s="24">
        <f>'Rådata-K'!R384</f>
        <v>0.10576286155884301</v>
      </c>
      <c r="H385" s="24">
        <f>'Rådata-K'!S384</f>
        <v>0.1691322587767719</v>
      </c>
      <c r="I385" s="24">
        <f>'Rådata-K'!T384</f>
        <v>1.7789757412398854E-2</v>
      </c>
      <c r="J385" s="24">
        <f>'Rådata-K'!U384</f>
        <v>0.79616858237547894</v>
      </c>
      <c r="K385" s="24">
        <f>'Rådata-K'!L384</f>
        <v>367700</v>
      </c>
      <c r="L385" s="24">
        <f>Tabell2[[#This Row],[NIBR11]]</f>
        <v>8</v>
      </c>
      <c r="M385" s="24">
        <f>IF(Tabell2[[#This Row],[ReisetidOslo]]&lt;=C$434,C$434,IF(Tabell2[[#This Row],[ReisetidOslo]]&gt;=C$435,C$435,Tabell2[[#This Row],[ReisetidOslo]]))</f>
        <v>280.45666666669001</v>
      </c>
      <c r="N385" s="24">
        <f>IF(Tabell2[[#This Row],[Beftettland]]&lt;=D$434,D$434,IF(Tabell2[[#This Row],[Beftettland]]&gt;=D$435,D$435,Tabell2[[#This Row],[Beftettland]]))</f>
        <v>14.580047001255513</v>
      </c>
      <c r="O385" s="24">
        <f>IF(Tabell2[[#This Row],[Beftettotal]]&lt;=E$434,E$434,IF(Tabell2[[#This Row],[Beftettotal]]&gt;=E$435,E$435,Tabell2[[#This Row],[Beftettotal]]))</f>
        <v>14.174830208757159</v>
      </c>
      <c r="P385" s="24">
        <f>IF(Tabell2[[#This Row],[Befvekst10]]&lt;=F$434,F$434,IF(Tabell2[[#This Row],[Befvekst10]]&gt;=F$435,F$435,Tabell2[[#This Row],[Befvekst10]]))</f>
        <v>-8.3205605430261009E-3</v>
      </c>
      <c r="Q385" s="24">
        <f>IF(Tabell2[[#This Row],[Kvinneandel]]&lt;=G$434,G$434,IF(Tabell2[[#This Row],[Kvinneandel]]&gt;=G$435,G$435,Tabell2[[#This Row],[Kvinneandel]]))</f>
        <v>0.10576286155884301</v>
      </c>
      <c r="R385" s="24">
        <f>IF(Tabell2[[#This Row],[Eldreandel]]&lt;=H$434,H$434,IF(Tabell2[[#This Row],[Eldreandel]]&gt;=H$435,H$435,Tabell2[[#This Row],[Eldreandel]]))</f>
        <v>0.1691322587767719</v>
      </c>
      <c r="S385" s="24">
        <f>IF(Tabell2[[#This Row],[Sysselsettingsvekst10]]&lt;=I$434,I$434,IF(Tabell2[[#This Row],[Sysselsettingsvekst10]]&gt;=I$435,I$435,Tabell2[[#This Row],[Sysselsettingsvekst10]]))</f>
        <v>1.7789757412398854E-2</v>
      </c>
      <c r="T385" s="24">
        <f>IF(Tabell2[[#This Row],[Yrkesaktivandel]]&lt;=J$434,J$434,IF(Tabell2[[#This Row],[Yrkesaktivandel]]&gt;=J$435,J$435,Tabell2[[#This Row],[Yrkesaktivandel]]))</f>
        <v>0.79888426611272945</v>
      </c>
      <c r="U385" s="24">
        <f>IF(Tabell2[[#This Row],[Inntekt]]&lt;=K$434,K$434,IF(Tabell2[[#This Row],[Inntekt]]&gt;=K$435,K$435,Tabell2[[#This Row],[Inntekt]]))</f>
        <v>367700</v>
      </c>
      <c r="V385" s="7">
        <f>IF(Tabell2[[#This Row],[NIBR11-T]]&lt;=L$437,100,IF(Tabell2[[#This Row],[NIBR11-T]]&gt;=L$436,0,100*(L$436-Tabell2[[#This Row],[NIBR11-T]])/L$439))</f>
        <v>30</v>
      </c>
      <c r="W385" s="7">
        <f>(M$436-Tabell2[[#This Row],[ReisetidOslo-T]])*100/M$439</f>
        <v>0</v>
      </c>
      <c r="X385" s="7">
        <f>100-(N$436-Tabell2[[#This Row],[Beftettland-T]])*100/N$439</f>
        <v>9.7474495070448341</v>
      </c>
      <c r="Y385" s="7">
        <f>100-(O$436-Tabell2[[#This Row],[Beftettotal-T]])*100/O$439</f>
        <v>9.8410652369192775</v>
      </c>
      <c r="Z385" s="7">
        <f>100-(P$436-Tabell2[[#This Row],[Befvekst10-T]])*100/P$439</f>
        <v>25.395640202987025</v>
      </c>
      <c r="AA385" s="7">
        <f>100-(Q$436-Tabell2[[#This Row],[Kvinneandel-T]])*100/Q$439</f>
        <v>42.666083566667993</v>
      </c>
      <c r="AB385" s="7">
        <f>(R$436-Tabell2[[#This Row],[Eldreandel-T]])*100/R$439</f>
        <v>55.254287833265984</v>
      </c>
      <c r="AC385" s="7">
        <f>100-(S$436-Tabell2[[#This Row],[Sysselsettingsvekst10-T]])*100/S$439</f>
        <v>36.016118132780718</v>
      </c>
      <c r="AD385" s="7">
        <f>100-(T$436-Tabell2[[#This Row],[Yrkesaktivandel-T]])*100/T$439</f>
        <v>0</v>
      </c>
      <c r="AE385" s="7">
        <f>100-(U$436-Tabell2[[#This Row],[Inntekt-T]])*100/U$439</f>
        <v>26.283715156302904</v>
      </c>
      <c r="AF385" s="7">
        <v>6</v>
      </c>
      <c r="AG385" s="7">
        <v>0</v>
      </c>
      <c r="AH385" s="7">
        <v>0.98410652369192775</v>
      </c>
      <c r="AI385" s="7">
        <v>5.0791280405974053</v>
      </c>
      <c r="AJ385" s="7">
        <v>2.1333041783333999</v>
      </c>
      <c r="AK385" s="7">
        <v>2.7627143916632995</v>
      </c>
      <c r="AL385" s="7">
        <v>3.6016118132780721</v>
      </c>
      <c r="AM385" s="7">
        <v>0</v>
      </c>
      <c r="AN385" s="7">
        <v>2.6283715156302905</v>
      </c>
      <c r="AO38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23.189236463194398</v>
      </c>
    </row>
    <row r="386" spans="1:41" x14ac:dyDescent="0.3">
      <c r="A386" s="2" t="s">
        <v>383</v>
      </c>
      <c r="B386">
        <f>'Rådata-K'!N385</f>
        <v>8</v>
      </c>
      <c r="C386" s="7">
        <f>'Rådata-K'!M385</f>
        <v>261.11666666669998</v>
      </c>
      <c r="D386" s="24">
        <f>'Rådata-K'!O385</f>
        <v>14.647717657856621</v>
      </c>
      <c r="E386" s="24">
        <f>'Rådata-K'!P385</f>
        <v>14.148578077599701</v>
      </c>
      <c r="F386" s="24">
        <f>'Rådata-K'!Q385</f>
        <v>5.9653491026040006E-2</v>
      </c>
      <c r="G386" s="24">
        <f>'Rådata-K'!R385</f>
        <v>0.11533189739573135</v>
      </c>
      <c r="H386" s="24">
        <f>'Rådata-K'!S385</f>
        <v>0.1461719208928921</v>
      </c>
      <c r="I386" s="24">
        <f>'Rådata-K'!T385</f>
        <v>3.7788385043755479E-3</v>
      </c>
      <c r="J386" s="24">
        <f>'Rådata-K'!U385</f>
        <v>0.85444008863132781</v>
      </c>
      <c r="K386" s="24">
        <f>'Rådata-K'!L385</f>
        <v>381300</v>
      </c>
      <c r="L386" s="24">
        <f>Tabell2[[#This Row],[NIBR11]]</f>
        <v>8</v>
      </c>
      <c r="M386" s="24">
        <f>IF(Tabell2[[#This Row],[ReisetidOslo]]&lt;=C$434,C$434,IF(Tabell2[[#This Row],[ReisetidOslo]]&gt;=C$435,C$435,Tabell2[[#This Row],[ReisetidOslo]]))</f>
        <v>261.11666666669998</v>
      </c>
      <c r="N386" s="24">
        <f>IF(Tabell2[[#This Row],[Beftettland]]&lt;=D$434,D$434,IF(Tabell2[[#This Row],[Beftettland]]&gt;=D$435,D$435,Tabell2[[#This Row],[Beftettland]]))</f>
        <v>14.647717657856621</v>
      </c>
      <c r="O386" s="24">
        <f>IF(Tabell2[[#This Row],[Beftettotal]]&lt;=E$434,E$434,IF(Tabell2[[#This Row],[Beftettotal]]&gt;=E$435,E$435,Tabell2[[#This Row],[Beftettotal]]))</f>
        <v>14.148578077599701</v>
      </c>
      <c r="P386" s="24">
        <f>IF(Tabell2[[#This Row],[Befvekst10]]&lt;=F$434,F$434,IF(Tabell2[[#This Row],[Befvekst10]]&gt;=F$435,F$435,Tabell2[[#This Row],[Befvekst10]]))</f>
        <v>5.9653491026040006E-2</v>
      </c>
      <c r="Q386" s="24">
        <f>IF(Tabell2[[#This Row],[Kvinneandel]]&lt;=G$434,G$434,IF(Tabell2[[#This Row],[Kvinneandel]]&gt;=G$435,G$435,Tabell2[[#This Row],[Kvinneandel]]))</f>
        <v>0.11533189739573135</v>
      </c>
      <c r="R386" s="24">
        <f>IF(Tabell2[[#This Row],[Eldreandel]]&lt;=H$434,H$434,IF(Tabell2[[#This Row],[Eldreandel]]&gt;=H$435,H$435,Tabell2[[#This Row],[Eldreandel]]))</f>
        <v>0.1461719208928921</v>
      </c>
      <c r="S386" s="24">
        <f>IF(Tabell2[[#This Row],[Sysselsettingsvekst10]]&lt;=I$434,I$434,IF(Tabell2[[#This Row],[Sysselsettingsvekst10]]&gt;=I$435,I$435,Tabell2[[#This Row],[Sysselsettingsvekst10]]))</f>
        <v>3.7788385043755479E-3</v>
      </c>
      <c r="T386" s="24">
        <f>IF(Tabell2[[#This Row],[Yrkesaktivandel]]&lt;=J$434,J$434,IF(Tabell2[[#This Row],[Yrkesaktivandel]]&gt;=J$435,J$435,Tabell2[[#This Row],[Yrkesaktivandel]]))</f>
        <v>0.85444008863132781</v>
      </c>
      <c r="U386" s="24">
        <f>IF(Tabell2[[#This Row],[Inntekt]]&lt;=K$434,K$434,IF(Tabell2[[#This Row],[Inntekt]]&gt;=K$435,K$435,Tabell2[[#This Row],[Inntekt]]))</f>
        <v>381300</v>
      </c>
      <c r="V386" s="7">
        <f>IF(Tabell2[[#This Row],[NIBR11-T]]&lt;=L$437,100,IF(Tabell2[[#This Row],[NIBR11-T]]&gt;=L$436,0,100*(L$436-Tabell2[[#This Row],[NIBR11-T]])/L$439))</f>
        <v>30</v>
      </c>
      <c r="W386" s="7">
        <f>(M$436-Tabell2[[#This Row],[ReisetidOslo-T]])*100/M$439</f>
        <v>8.4855575868320496</v>
      </c>
      <c r="X386" s="7">
        <f>100-(N$436-Tabell2[[#This Row],[Beftettland-T]])*100/N$439</f>
        <v>9.797505745085914</v>
      </c>
      <c r="Y386" s="7">
        <f>100-(O$436-Tabell2[[#This Row],[Beftettotal-T]])*100/O$439</f>
        <v>9.8209708433057443</v>
      </c>
      <c r="Z386" s="7">
        <f>100-(P$436-Tabell2[[#This Row],[Befvekst10-T]])*100/P$439</f>
        <v>52.908888806411895</v>
      </c>
      <c r="AA386" s="7">
        <f>100-(Q$436-Tabell2[[#This Row],[Kvinneandel-T]])*100/Q$439</f>
        <v>67.804450463960649</v>
      </c>
      <c r="AB386" s="7">
        <f>(R$436-Tabell2[[#This Row],[Eldreandel-T]])*100/R$439</f>
        <v>80.034343481268422</v>
      </c>
      <c r="AC386" s="7">
        <f>100-(S$436-Tabell2[[#This Row],[Sysselsettingsvekst10-T]])*100/S$439</f>
        <v>31.443636521177183</v>
      </c>
      <c r="AD386" s="7">
        <f>100-(T$436-Tabell2[[#This Row],[Yrkesaktivandel-T]])*100/T$439</f>
        <v>39.183178422573995</v>
      </c>
      <c r="AE386" s="7">
        <f>100-(U$436-Tabell2[[#This Row],[Inntekt-T]])*100/U$439</f>
        <v>41.631869992100214</v>
      </c>
      <c r="AF386" s="7">
        <v>6</v>
      </c>
      <c r="AG386" s="7">
        <v>0.84855575868320499</v>
      </c>
      <c r="AH386" s="7">
        <v>0.98209708433057452</v>
      </c>
      <c r="AI386" s="7">
        <v>10.58177776128238</v>
      </c>
      <c r="AJ386" s="7">
        <v>3.3902225231980325</v>
      </c>
      <c r="AK386" s="7">
        <v>4.0017171740634216</v>
      </c>
      <c r="AL386" s="7">
        <v>3.1443636521177183</v>
      </c>
      <c r="AM386" s="7">
        <v>3.9183178422573999</v>
      </c>
      <c r="AN386" s="7">
        <v>4.1631869992100219</v>
      </c>
      <c r="AO38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37.030238795142758</v>
      </c>
    </row>
    <row r="387" spans="1:41" x14ac:dyDescent="0.3">
      <c r="A387" s="2" t="s">
        <v>384</v>
      </c>
      <c r="B387">
        <f>'Rådata-K'!N386</f>
        <v>9</v>
      </c>
      <c r="C387" s="7">
        <f>'Rådata-K'!M386</f>
        <v>256.8</v>
      </c>
      <c r="D387" s="24">
        <f>'Rådata-K'!O386</f>
        <v>8.0751082356374955</v>
      </c>
      <c r="E387" s="24">
        <f>'Rådata-K'!P386</f>
        <v>7.590074986282997</v>
      </c>
      <c r="F387" s="24">
        <f>'Rådata-K'!Q386</f>
        <v>-5.0524308865586232E-2</v>
      </c>
      <c r="G387" s="24">
        <f>'Rådata-K'!R386</f>
        <v>0.10020080321285141</v>
      </c>
      <c r="H387" s="24">
        <f>'Rådata-K'!S386</f>
        <v>0.20602409638554217</v>
      </c>
      <c r="I387" s="24">
        <f>'Rådata-K'!T386</f>
        <v>-0.17316191241462431</v>
      </c>
      <c r="J387" s="24">
        <f>'Rådata-K'!U386</f>
        <v>0.83136094674556216</v>
      </c>
      <c r="K387" s="24">
        <f>'Rådata-K'!L386</f>
        <v>371700</v>
      </c>
      <c r="L387" s="24">
        <f>Tabell2[[#This Row],[NIBR11]]</f>
        <v>9</v>
      </c>
      <c r="M387" s="24">
        <f>IF(Tabell2[[#This Row],[ReisetidOslo]]&lt;=C$434,C$434,IF(Tabell2[[#This Row],[ReisetidOslo]]&gt;=C$435,C$435,Tabell2[[#This Row],[ReisetidOslo]]))</f>
        <v>256.8</v>
      </c>
      <c r="N387" s="24">
        <f>IF(Tabell2[[#This Row],[Beftettland]]&lt;=D$434,D$434,IF(Tabell2[[#This Row],[Beftettland]]&gt;=D$435,D$435,Tabell2[[#This Row],[Beftettland]]))</f>
        <v>8.0751082356374955</v>
      </c>
      <c r="O387" s="24">
        <f>IF(Tabell2[[#This Row],[Beftettotal]]&lt;=E$434,E$434,IF(Tabell2[[#This Row],[Beftettotal]]&gt;=E$435,E$435,Tabell2[[#This Row],[Beftettotal]]))</f>
        <v>7.590074986282997</v>
      </c>
      <c r="P387" s="24">
        <f>IF(Tabell2[[#This Row],[Befvekst10]]&lt;=F$434,F$434,IF(Tabell2[[#This Row],[Befvekst10]]&gt;=F$435,F$435,Tabell2[[#This Row],[Befvekst10]]))</f>
        <v>-5.0524308865586232E-2</v>
      </c>
      <c r="Q387" s="24">
        <f>IF(Tabell2[[#This Row],[Kvinneandel]]&lt;=G$434,G$434,IF(Tabell2[[#This Row],[Kvinneandel]]&gt;=G$435,G$435,Tabell2[[#This Row],[Kvinneandel]]))</f>
        <v>0.10020080321285141</v>
      </c>
      <c r="R387" s="24">
        <f>IF(Tabell2[[#This Row],[Eldreandel]]&lt;=H$434,H$434,IF(Tabell2[[#This Row],[Eldreandel]]&gt;=H$435,H$435,Tabell2[[#This Row],[Eldreandel]]))</f>
        <v>0.20602409638554217</v>
      </c>
      <c r="S387" s="24">
        <f>IF(Tabell2[[#This Row],[Sysselsettingsvekst10]]&lt;=I$434,I$434,IF(Tabell2[[#This Row],[Sysselsettingsvekst10]]&gt;=I$435,I$435,Tabell2[[#This Row],[Sysselsettingsvekst10]]))</f>
        <v>-9.2570207570207563E-2</v>
      </c>
      <c r="T387" s="24">
        <f>IF(Tabell2[[#This Row],[Yrkesaktivandel]]&lt;=J$434,J$434,IF(Tabell2[[#This Row],[Yrkesaktivandel]]&gt;=J$435,J$435,Tabell2[[#This Row],[Yrkesaktivandel]]))</f>
        <v>0.83136094674556216</v>
      </c>
      <c r="U387" s="24">
        <f>IF(Tabell2[[#This Row],[Inntekt]]&lt;=K$434,K$434,IF(Tabell2[[#This Row],[Inntekt]]&gt;=K$435,K$435,Tabell2[[#This Row],[Inntekt]]))</f>
        <v>371700</v>
      </c>
      <c r="V387" s="7">
        <f>IF(Tabell2[[#This Row],[NIBR11-T]]&lt;=L$437,100,IF(Tabell2[[#This Row],[NIBR11-T]]&gt;=L$436,0,100*(L$436-Tabell2[[#This Row],[NIBR11-T]])/L$439))</f>
        <v>20</v>
      </c>
      <c r="W387" s="7">
        <f>(M$436-Tabell2[[#This Row],[ReisetidOslo-T]])*100/M$439</f>
        <v>10.3795246800823</v>
      </c>
      <c r="X387" s="7">
        <f>100-(N$436-Tabell2[[#This Row],[Beftettland-T]])*100/N$439</f>
        <v>4.9357219481739065</v>
      </c>
      <c r="Y387" s="7">
        <f>100-(O$436-Tabell2[[#This Row],[Beftettotal-T]])*100/O$439</f>
        <v>4.8008396455011564</v>
      </c>
      <c r="Z387" s="7">
        <f>100-(P$436-Tabell2[[#This Row],[Befvekst10-T]])*100/P$439</f>
        <v>8.3132066450115332</v>
      </c>
      <c r="AA387" s="7">
        <f>100-(Q$436-Tabell2[[#This Row],[Kvinneandel-T]])*100/Q$439</f>
        <v>28.054259994362027</v>
      </c>
      <c r="AB387" s="7">
        <f>(R$436-Tabell2[[#This Row],[Eldreandel-T]])*100/R$439</f>
        <v>15.438593764398073</v>
      </c>
      <c r="AC387" s="7">
        <f>100-(S$436-Tabell2[[#This Row],[Sysselsettingsvekst10-T]])*100/S$439</f>
        <v>0</v>
      </c>
      <c r="AD387" s="7">
        <f>100-(T$436-Tabell2[[#This Row],[Yrkesaktivandel-T]])*100/T$439</f>
        <v>22.905602223479463</v>
      </c>
      <c r="AE387" s="7">
        <f>100-(U$436-Tabell2[[#This Row],[Inntekt-T]])*100/U$439</f>
        <v>30.797878343302116</v>
      </c>
      <c r="AF387" s="7">
        <v>4</v>
      </c>
      <c r="AG387" s="7">
        <v>1.0379524680082299</v>
      </c>
      <c r="AH387" s="7">
        <v>0.48008396455011565</v>
      </c>
      <c r="AI387" s="7">
        <v>1.6626413290023068</v>
      </c>
      <c r="AJ387" s="7">
        <v>1.4027129997181014</v>
      </c>
      <c r="AK387" s="7">
        <v>0.77192968821990371</v>
      </c>
      <c r="AL387" s="7">
        <v>0</v>
      </c>
      <c r="AM387" s="7">
        <v>2.2905602223479464</v>
      </c>
      <c r="AN387" s="7">
        <v>3.0797878343302116</v>
      </c>
      <c r="AO38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14.725668506176817</v>
      </c>
    </row>
    <row r="388" spans="1:41" x14ac:dyDescent="0.3">
      <c r="A388" s="2" t="s">
        <v>385</v>
      </c>
      <c r="B388">
        <f>'Rådata-K'!N387</f>
        <v>11</v>
      </c>
      <c r="C388" s="7">
        <f>'Rådata-K'!M387</f>
        <v>283.11666666669998</v>
      </c>
      <c r="D388" s="24">
        <f>'Rådata-K'!O387</f>
        <v>9.6134697202860497</v>
      </c>
      <c r="E388" s="24">
        <f>'Rådata-K'!P387</f>
        <v>8.9401464769761763</v>
      </c>
      <c r="F388" s="24">
        <f>'Rådata-K'!Q387</f>
        <v>-0.10228233305156387</v>
      </c>
      <c r="G388" s="24">
        <f>'Rådata-K'!R387</f>
        <v>9.7928436911487754E-2</v>
      </c>
      <c r="H388" s="24">
        <f>'Rådata-K'!S387</f>
        <v>0.2288135593220339</v>
      </c>
      <c r="I388" s="24">
        <f>'Rådata-K'!T387</f>
        <v>-6.6929133858267709E-2</v>
      </c>
      <c r="J388" s="24">
        <f>'Rådata-K'!U387</f>
        <v>0.86564625850340138</v>
      </c>
      <c r="K388" s="24">
        <f>'Rådata-K'!L387</f>
        <v>373800</v>
      </c>
      <c r="L388" s="24">
        <f>Tabell2[[#This Row],[NIBR11]]</f>
        <v>11</v>
      </c>
      <c r="M388" s="24">
        <f>IF(Tabell2[[#This Row],[ReisetidOslo]]&lt;=C$434,C$434,IF(Tabell2[[#This Row],[ReisetidOslo]]&gt;=C$435,C$435,Tabell2[[#This Row],[ReisetidOslo]]))</f>
        <v>280.45666666669001</v>
      </c>
      <c r="N388" s="24">
        <f>IF(Tabell2[[#This Row],[Beftettland]]&lt;=D$434,D$434,IF(Tabell2[[#This Row],[Beftettland]]&gt;=D$435,D$435,Tabell2[[#This Row],[Beftettland]]))</f>
        <v>9.6134697202860497</v>
      </c>
      <c r="O388" s="24">
        <f>IF(Tabell2[[#This Row],[Beftettotal]]&lt;=E$434,E$434,IF(Tabell2[[#This Row],[Beftettotal]]&gt;=E$435,E$435,Tabell2[[#This Row],[Beftettotal]]))</f>
        <v>8.9401464769761763</v>
      </c>
      <c r="P388" s="24">
        <f>IF(Tabell2[[#This Row],[Befvekst10]]&lt;=F$434,F$434,IF(Tabell2[[#This Row],[Befvekst10]]&gt;=F$435,F$435,Tabell2[[#This Row],[Befvekst10]]))</f>
        <v>-7.1062862685144085E-2</v>
      </c>
      <c r="Q388" s="24">
        <f>IF(Tabell2[[#This Row],[Kvinneandel]]&lt;=G$434,G$434,IF(Tabell2[[#This Row],[Kvinneandel]]&gt;=G$435,G$435,Tabell2[[#This Row],[Kvinneandel]]))</f>
        <v>9.7928436911487754E-2</v>
      </c>
      <c r="R388" s="24">
        <f>IF(Tabell2[[#This Row],[Eldreandel]]&lt;=H$434,H$434,IF(Tabell2[[#This Row],[Eldreandel]]&gt;=H$435,H$435,Tabell2[[#This Row],[Eldreandel]]))</f>
        <v>0.22032896051974013</v>
      </c>
      <c r="S388" s="24">
        <f>IF(Tabell2[[#This Row],[Sysselsettingsvekst10]]&lt;=I$434,I$434,IF(Tabell2[[#This Row],[Sysselsettingsvekst10]]&gt;=I$435,I$435,Tabell2[[#This Row],[Sysselsettingsvekst10]]))</f>
        <v>-6.6929133858267709E-2</v>
      </c>
      <c r="T388" s="24">
        <f>IF(Tabell2[[#This Row],[Yrkesaktivandel]]&lt;=J$434,J$434,IF(Tabell2[[#This Row],[Yrkesaktivandel]]&gt;=J$435,J$435,Tabell2[[#This Row],[Yrkesaktivandel]]))</f>
        <v>0.86564625850340138</v>
      </c>
      <c r="U388" s="24">
        <f>IF(Tabell2[[#This Row],[Inntekt]]&lt;=K$434,K$434,IF(Tabell2[[#This Row],[Inntekt]]&gt;=K$435,K$435,Tabell2[[#This Row],[Inntekt]]))</f>
        <v>373800</v>
      </c>
      <c r="V388" s="7">
        <f>IF(Tabell2[[#This Row],[NIBR11-T]]&lt;=L$437,100,IF(Tabell2[[#This Row],[NIBR11-T]]&gt;=L$436,0,100*(L$436-Tabell2[[#This Row],[NIBR11-T]])/L$439))</f>
        <v>0</v>
      </c>
      <c r="W388" s="7">
        <f>(M$436-Tabell2[[#This Row],[ReisetidOslo-T]])*100/M$439</f>
        <v>0</v>
      </c>
      <c r="X388" s="7">
        <f>100-(N$436-Tabell2[[#This Row],[Beftettland-T]])*100/N$439</f>
        <v>6.0736536978643869</v>
      </c>
      <c r="Y388" s="7">
        <f>100-(O$436-Tabell2[[#This Row],[Beftettotal-T]])*100/O$439</f>
        <v>5.8342364306103462</v>
      </c>
      <c r="Z388" s="7">
        <f>100-(P$436-Tabell2[[#This Row],[Befvekst10-T]])*100/P$439</f>
        <v>0</v>
      </c>
      <c r="AA388" s="7">
        <f>100-(Q$436-Tabell2[[#This Row],[Kvinneandel-T]])*100/Q$439</f>
        <v>22.084632669055765</v>
      </c>
      <c r="AB388" s="7">
        <f>(R$436-Tabell2[[#This Row],[Eldreandel-T]])*100/R$439</f>
        <v>0</v>
      </c>
      <c r="AC388" s="7">
        <f>100-(S$436-Tabell2[[#This Row],[Sysselsettingsvekst10-T]])*100/S$439</f>
        <v>8.367997760837568</v>
      </c>
      <c r="AD388" s="7">
        <f>100-(T$436-Tabell2[[#This Row],[Yrkesaktivandel-T]])*100/T$439</f>
        <v>47.086820806486799</v>
      </c>
      <c r="AE388" s="7">
        <f>100-(U$436-Tabell2[[#This Row],[Inntekt-T]])*100/U$439</f>
        <v>33.167814016476697</v>
      </c>
      <c r="AF388" s="7">
        <v>0</v>
      </c>
      <c r="AG388" s="7">
        <v>0</v>
      </c>
      <c r="AH388" s="7">
        <v>0.58342364306103467</v>
      </c>
      <c r="AI388" s="7">
        <v>0</v>
      </c>
      <c r="AJ388" s="7">
        <v>1.1042316334527882</v>
      </c>
      <c r="AK388" s="7">
        <v>0</v>
      </c>
      <c r="AL388" s="7">
        <v>0.83679977608375689</v>
      </c>
      <c r="AM388" s="7">
        <v>4.7086820806486802</v>
      </c>
      <c r="AN388" s="7">
        <v>3.31678140164767</v>
      </c>
      <c r="AO38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10.54991853489393</v>
      </c>
    </row>
    <row r="389" spans="1:41" x14ac:dyDescent="0.3">
      <c r="A389" s="2" t="s">
        <v>386</v>
      </c>
      <c r="B389">
        <f>'Rådata-K'!N388</f>
        <v>4</v>
      </c>
      <c r="C389" s="7">
        <f>'Rådata-K'!M388</f>
        <v>215.6</v>
      </c>
      <c r="D389" s="24">
        <f>'Rådata-K'!O388</f>
        <v>29.705331840250967</v>
      </c>
      <c r="E389" s="24">
        <f>'Rådata-K'!P388</f>
        <v>29.149707630177957</v>
      </c>
      <c r="F389" s="24">
        <f>'Rådata-K'!Q388</f>
        <v>0.15541857978489215</v>
      </c>
      <c r="G389" s="24">
        <f>'Rådata-K'!R388</f>
        <v>0.14990473598258031</v>
      </c>
      <c r="H389" s="24">
        <f>'Rådata-K'!S388</f>
        <v>0.10593358737071312</v>
      </c>
      <c r="I389" s="24">
        <f>'Rådata-K'!T388</f>
        <v>0.14594890012296768</v>
      </c>
      <c r="J389" s="24">
        <f>'Rådata-K'!U388</f>
        <v>0.85446522288627547</v>
      </c>
      <c r="K389" s="24">
        <f>'Rådata-K'!L388</f>
        <v>418700</v>
      </c>
      <c r="L389" s="24">
        <f>Tabell2[[#This Row],[NIBR11]]</f>
        <v>4</v>
      </c>
      <c r="M389" s="24">
        <f>IF(Tabell2[[#This Row],[ReisetidOslo]]&lt;=C$434,C$434,IF(Tabell2[[#This Row],[ReisetidOslo]]&gt;=C$435,C$435,Tabell2[[#This Row],[ReisetidOslo]]))</f>
        <v>215.6</v>
      </c>
      <c r="N389" s="24">
        <f>IF(Tabell2[[#This Row],[Beftettland]]&lt;=D$434,D$434,IF(Tabell2[[#This Row],[Beftettland]]&gt;=D$435,D$435,Tabell2[[#This Row],[Beftettland]]))</f>
        <v>29.705331840250967</v>
      </c>
      <c r="O389" s="24">
        <f>IF(Tabell2[[#This Row],[Beftettotal]]&lt;=E$434,E$434,IF(Tabell2[[#This Row],[Beftettotal]]&gt;=E$435,E$435,Tabell2[[#This Row],[Beftettotal]]))</f>
        <v>29.149707630177957</v>
      </c>
      <c r="P389" s="24">
        <f>IF(Tabell2[[#This Row],[Befvekst10]]&lt;=F$434,F$434,IF(Tabell2[[#This Row],[Befvekst10]]&gt;=F$435,F$435,Tabell2[[#This Row],[Befvekst10]]))</f>
        <v>0.15541857978489215</v>
      </c>
      <c r="Q389" s="24">
        <f>IF(Tabell2[[#This Row],[Kvinneandel]]&lt;=G$434,G$434,IF(Tabell2[[#This Row],[Kvinneandel]]&gt;=G$435,G$435,Tabell2[[#This Row],[Kvinneandel]]))</f>
        <v>0.12758728250318055</v>
      </c>
      <c r="R389" s="24">
        <f>IF(Tabell2[[#This Row],[Eldreandel]]&lt;=H$434,H$434,IF(Tabell2[[#This Row],[Eldreandel]]&gt;=H$435,H$435,Tabell2[[#This Row],[Eldreandel]]))</f>
        <v>0.12767243783057225</v>
      </c>
      <c r="S389" s="24">
        <f>IF(Tabell2[[#This Row],[Sysselsettingsvekst10]]&lt;=I$434,I$434,IF(Tabell2[[#This Row],[Sysselsettingsvekst10]]&gt;=I$435,I$435,Tabell2[[#This Row],[Sysselsettingsvekst10]]))</f>
        <v>0.14594890012296768</v>
      </c>
      <c r="T389" s="24">
        <f>IF(Tabell2[[#This Row],[Yrkesaktivandel]]&lt;=J$434,J$434,IF(Tabell2[[#This Row],[Yrkesaktivandel]]&gt;=J$435,J$435,Tabell2[[#This Row],[Yrkesaktivandel]]))</f>
        <v>0.85446522288627547</v>
      </c>
      <c r="U389" s="24">
        <f>IF(Tabell2[[#This Row],[Inntekt]]&lt;=K$434,K$434,IF(Tabell2[[#This Row],[Inntekt]]&gt;=K$435,K$435,Tabell2[[#This Row],[Inntekt]]))</f>
        <v>418700</v>
      </c>
      <c r="V389" s="7">
        <f>IF(Tabell2[[#This Row],[NIBR11-T]]&lt;=L$437,100,IF(Tabell2[[#This Row],[NIBR11-T]]&gt;=L$436,0,100*(L$436-Tabell2[[#This Row],[NIBR11-T]])/L$439))</f>
        <v>70</v>
      </c>
      <c r="W389" s="7">
        <f>(M$436-Tabell2[[#This Row],[ReisetidOslo-T]])*100/M$439</f>
        <v>28.456307129806234</v>
      </c>
      <c r="X389" s="7">
        <f>100-(N$436-Tabell2[[#This Row],[Beftettland-T]])*100/N$439</f>
        <v>20.935679330243218</v>
      </c>
      <c r="Y389" s="7">
        <f>100-(O$436-Tabell2[[#This Row],[Beftettotal-T]])*100/O$439</f>
        <v>21.303413928361579</v>
      </c>
      <c r="Z389" s="7">
        <f>100-(P$436-Tabell2[[#This Row],[Befvekst10-T]])*100/P$439</f>
        <v>91.670866851434084</v>
      </c>
      <c r="AA389" s="7">
        <f>100-(Q$436-Tabell2[[#This Row],[Kvinneandel-T]])*100/Q$439</f>
        <v>100</v>
      </c>
      <c r="AB389" s="7">
        <f>(R$436-Tabell2[[#This Row],[Eldreandel-T]])*100/R$439</f>
        <v>100</v>
      </c>
      <c r="AC389" s="7">
        <f>100-(S$436-Tabell2[[#This Row],[Sysselsettingsvekst10-T]])*100/S$439</f>
        <v>77.841021070972431</v>
      </c>
      <c r="AD389" s="7">
        <f>100-(T$436-Tabell2[[#This Row],[Yrkesaktivandel-T]])*100/T$439</f>
        <v>39.20090545732004</v>
      </c>
      <c r="AE389" s="7">
        <f>100-(U$436-Tabell2[[#This Row],[Inntekt-T]])*100/U$439</f>
        <v>83.83929579054282</v>
      </c>
      <c r="AF389" s="7">
        <v>14</v>
      </c>
      <c r="AG389" s="7">
        <v>2.8456307129806238</v>
      </c>
      <c r="AH389" s="7">
        <v>2.1303413928361579</v>
      </c>
      <c r="AI389" s="7">
        <v>18.334173370286816</v>
      </c>
      <c r="AJ389" s="7">
        <v>5</v>
      </c>
      <c r="AK389" s="7">
        <v>5</v>
      </c>
      <c r="AL389" s="7">
        <v>7.7841021070972438</v>
      </c>
      <c r="AM389" s="7">
        <v>3.9200905457320041</v>
      </c>
      <c r="AN389" s="7">
        <v>8.383929579054282</v>
      </c>
      <c r="AO38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67.398267707987117</v>
      </c>
    </row>
    <row r="390" spans="1:41" x14ac:dyDescent="0.3">
      <c r="A390" s="2" t="s">
        <v>387</v>
      </c>
      <c r="B390">
        <f>'Rådata-K'!N389</f>
        <v>5</v>
      </c>
      <c r="C390" s="7">
        <f>'Rådata-K'!M389</f>
        <v>234.96666666670001</v>
      </c>
      <c r="D390" s="24">
        <f>'Rådata-K'!O389</f>
        <v>57.65010738631058</v>
      </c>
      <c r="E390" s="24">
        <f>'Rådata-K'!P389</f>
        <v>55.476928606730468</v>
      </c>
      <c r="F390" s="24">
        <f>'Rådata-K'!Q389</f>
        <v>3.9133179044813726E-2</v>
      </c>
      <c r="G390" s="24">
        <f>'Rådata-K'!R389</f>
        <v>0.12132010528447054</v>
      </c>
      <c r="H390" s="24">
        <f>'Rådata-K'!S389</f>
        <v>0.15833164608220288</v>
      </c>
      <c r="I390" s="24">
        <f>'Rådata-K'!T389</f>
        <v>4.4673539518900407E-2</v>
      </c>
      <c r="J390" s="24">
        <f>'Rådata-K'!U389</f>
        <v>0.84568845618915156</v>
      </c>
      <c r="K390" s="24">
        <f>'Rådata-K'!L389</f>
        <v>400800</v>
      </c>
      <c r="L390" s="24">
        <f>Tabell2[[#This Row],[NIBR11]]</f>
        <v>5</v>
      </c>
      <c r="M390" s="24">
        <f>IF(Tabell2[[#This Row],[ReisetidOslo]]&lt;=C$434,C$434,IF(Tabell2[[#This Row],[ReisetidOslo]]&gt;=C$435,C$435,Tabell2[[#This Row],[ReisetidOslo]]))</f>
        <v>234.96666666670001</v>
      </c>
      <c r="N390" s="24">
        <f>IF(Tabell2[[#This Row],[Beftettland]]&lt;=D$434,D$434,IF(Tabell2[[#This Row],[Beftettland]]&gt;=D$435,D$435,Tabell2[[#This Row],[Beftettland]]))</f>
        <v>57.65010738631058</v>
      </c>
      <c r="O390" s="24">
        <f>IF(Tabell2[[#This Row],[Beftettotal]]&lt;=E$434,E$434,IF(Tabell2[[#This Row],[Beftettotal]]&gt;=E$435,E$435,Tabell2[[#This Row],[Beftettotal]]))</f>
        <v>55.476928606730468</v>
      </c>
      <c r="P390" s="24">
        <f>IF(Tabell2[[#This Row],[Befvekst10]]&lt;=F$434,F$434,IF(Tabell2[[#This Row],[Befvekst10]]&gt;=F$435,F$435,Tabell2[[#This Row],[Befvekst10]]))</f>
        <v>3.9133179044813726E-2</v>
      </c>
      <c r="Q390" s="24">
        <f>IF(Tabell2[[#This Row],[Kvinneandel]]&lt;=G$434,G$434,IF(Tabell2[[#This Row],[Kvinneandel]]&gt;=G$435,G$435,Tabell2[[#This Row],[Kvinneandel]]))</f>
        <v>0.12132010528447054</v>
      </c>
      <c r="R390" s="24">
        <f>IF(Tabell2[[#This Row],[Eldreandel]]&lt;=H$434,H$434,IF(Tabell2[[#This Row],[Eldreandel]]&gt;=H$435,H$435,Tabell2[[#This Row],[Eldreandel]]))</f>
        <v>0.15833164608220288</v>
      </c>
      <c r="S390" s="24">
        <f>IF(Tabell2[[#This Row],[Sysselsettingsvekst10]]&lt;=I$434,I$434,IF(Tabell2[[#This Row],[Sysselsettingsvekst10]]&gt;=I$435,I$435,Tabell2[[#This Row],[Sysselsettingsvekst10]]))</f>
        <v>4.4673539518900407E-2</v>
      </c>
      <c r="T390" s="24">
        <f>IF(Tabell2[[#This Row],[Yrkesaktivandel]]&lt;=J$434,J$434,IF(Tabell2[[#This Row],[Yrkesaktivandel]]&gt;=J$435,J$435,Tabell2[[#This Row],[Yrkesaktivandel]]))</f>
        <v>0.84568845618915156</v>
      </c>
      <c r="U390" s="24">
        <f>IF(Tabell2[[#This Row],[Inntekt]]&lt;=K$434,K$434,IF(Tabell2[[#This Row],[Inntekt]]&gt;=K$435,K$435,Tabell2[[#This Row],[Inntekt]]))</f>
        <v>400800</v>
      </c>
      <c r="V390" s="7">
        <f>IF(Tabell2[[#This Row],[NIBR11-T]]&lt;=L$437,100,IF(Tabell2[[#This Row],[NIBR11-T]]&gt;=L$436,0,100*(L$436-Tabell2[[#This Row],[NIBR11-T]])/L$439))</f>
        <v>60</v>
      </c>
      <c r="W390" s="7">
        <f>(M$436-Tabell2[[#This Row],[ReisetidOslo-T]])*100/M$439</f>
        <v>19.959049360139822</v>
      </c>
      <c r="X390" s="7">
        <f>100-(N$436-Tabell2[[#This Row],[Beftettland-T]])*100/N$439</f>
        <v>41.606534424551278</v>
      </c>
      <c r="Y390" s="7">
        <f>100-(O$436-Tabell2[[#This Row],[Beftettotal-T]])*100/O$439</f>
        <v>41.455284185291362</v>
      </c>
      <c r="Z390" s="7">
        <f>100-(P$436-Tabell2[[#This Row],[Befvekst10-T]])*100/P$439</f>
        <v>44.603065747068932</v>
      </c>
      <c r="AA390" s="7">
        <f>100-(Q$436-Tabell2[[#This Row],[Kvinneandel-T]])*100/Q$439</f>
        <v>83.535791586551596</v>
      </c>
      <c r="AB390" s="7">
        <f>(R$436-Tabell2[[#This Row],[Eldreandel-T]])*100/R$439</f>
        <v>66.910901292419339</v>
      </c>
      <c r="AC390" s="7">
        <f>100-(S$436-Tabell2[[#This Row],[Sysselsettingsvekst10-T]])*100/S$439</f>
        <v>44.789675394748862</v>
      </c>
      <c r="AD390" s="7">
        <f>100-(T$436-Tabell2[[#This Row],[Yrkesaktivandel-T]])*100/T$439</f>
        <v>33.010706124899315</v>
      </c>
      <c r="AE390" s="7">
        <f>100-(U$436-Tabell2[[#This Row],[Inntekt-T]])*100/U$439</f>
        <v>63.63841552872136</v>
      </c>
      <c r="AF390" s="7">
        <v>12</v>
      </c>
      <c r="AG390" s="7">
        <v>1.9959049360139822</v>
      </c>
      <c r="AH390" s="7">
        <v>4.1455284185291363</v>
      </c>
      <c r="AI390" s="7">
        <v>8.9206131494137875</v>
      </c>
      <c r="AJ390" s="7">
        <v>4.17678957932758</v>
      </c>
      <c r="AK390" s="7">
        <v>3.3455450646209672</v>
      </c>
      <c r="AL390" s="7">
        <v>4.478967539474886</v>
      </c>
      <c r="AM390" s="7">
        <v>3.3010706124899318</v>
      </c>
      <c r="AN390" s="7">
        <v>6.3638415528721364</v>
      </c>
      <c r="AO39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48.728260852742409</v>
      </c>
    </row>
    <row r="391" spans="1:41" x14ac:dyDescent="0.3">
      <c r="A391" s="2" t="s">
        <v>388</v>
      </c>
      <c r="B391">
        <f>'Rådata-K'!N390</f>
        <v>5</v>
      </c>
      <c r="C391" s="7">
        <f>'Rådata-K'!M390</f>
        <v>247.4</v>
      </c>
      <c r="D391" s="24">
        <f>'Rådata-K'!O390</f>
        <v>6.0916257742739921</v>
      </c>
      <c r="E391" s="24">
        <f>'Rådata-K'!P390</f>
        <v>5.9093214717702596</v>
      </c>
      <c r="F391" s="24">
        <f>'Rådata-K'!Q390</f>
        <v>-1.238995761330286E-2</v>
      </c>
      <c r="G391" s="24">
        <f>'Rådata-K'!R390</f>
        <v>0.10630571145592604</v>
      </c>
      <c r="H391" s="24">
        <f>'Rådata-K'!S390</f>
        <v>0.18322878837900297</v>
      </c>
      <c r="I391" s="24">
        <f>'Rådata-K'!T390</f>
        <v>-0.1157154026583268</v>
      </c>
      <c r="J391" s="24">
        <f>'Rådata-K'!U390</f>
        <v>0.83660130718954251</v>
      </c>
      <c r="K391" s="24">
        <f>'Rådata-K'!L390</f>
        <v>338900</v>
      </c>
      <c r="L391" s="24">
        <f>Tabell2[[#This Row],[NIBR11]]</f>
        <v>5</v>
      </c>
      <c r="M391" s="24">
        <f>IF(Tabell2[[#This Row],[ReisetidOslo]]&lt;=C$434,C$434,IF(Tabell2[[#This Row],[ReisetidOslo]]&gt;=C$435,C$435,Tabell2[[#This Row],[ReisetidOslo]]))</f>
        <v>247.4</v>
      </c>
      <c r="N391" s="24">
        <f>IF(Tabell2[[#This Row],[Beftettland]]&lt;=D$434,D$434,IF(Tabell2[[#This Row],[Beftettland]]&gt;=D$435,D$435,Tabell2[[#This Row],[Beftettland]]))</f>
        <v>6.0916257742739921</v>
      </c>
      <c r="O391" s="24">
        <f>IF(Tabell2[[#This Row],[Beftettotal]]&lt;=E$434,E$434,IF(Tabell2[[#This Row],[Beftettotal]]&gt;=E$435,E$435,Tabell2[[#This Row],[Beftettotal]]))</f>
        <v>5.9093214717702596</v>
      </c>
      <c r="P391" s="24">
        <f>IF(Tabell2[[#This Row],[Befvekst10]]&lt;=F$434,F$434,IF(Tabell2[[#This Row],[Befvekst10]]&gt;=F$435,F$435,Tabell2[[#This Row],[Befvekst10]]))</f>
        <v>-1.238995761330286E-2</v>
      </c>
      <c r="Q391" s="24">
        <f>IF(Tabell2[[#This Row],[Kvinneandel]]&lt;=G$434,G$434,IF(Tabell2[[#This Row],[Kvinneandel]]&gt;=G$435,G$435,Tabell2[[#This Row],[Kvinneandel]]))</f>
        <v>0.10630571145592604</v>
      </c>
      <c r="R391" s="24">
        <f>IF(Tabell2[[#This Row],[Eldreandel]]&lt;=H$434,H$434,IF(Tabell2[[#This Row],[Eldreandel]]&gt;=H$435,H$435,Tabell2[[#This Row],[Eldreandel]]))</f>
        <v>0.18322878837900297</v>
      </c>
      <c r="S391" s="24">
        <f>IF(Tabell2[[#This Row],[Sysselsettingsvekst10]]&lt;=I$434,I$434,IF(Tabell2[[#This Row],[Sysselsettingsvekst10]]&gt;=I$435,I$435,Tabell2[[#This Row],[Sysselsettingsvekst10]]))</f>
        <v>-9.2570207570207563E-2</v>
      </c>
      <c r="T391" s="24">
        <f>IF(Tabell2[[#This Row],[Yrkesaktivandel]]&lt;=J$434,J$434,IF(Tabell2[[#This Row],[Yrkesaktivandel]]&gt;=J$435,J$435,Tabell2[[#This Row],[Yrkesaktivandel]]))</f>
        <v>0.83660130718954251</v>
      </c>
      <c r="U391" s="24">
        <f>IF(Tabell2[[#This Row],[Inntekt]]&lt;=K$434,K$434,IF(Tabell2[[#This Row],[Inntekt]]&gt;=K$435,K$435,Tabell2[[#This Row],[Inntekt]]))</f>
        <v>344410</v>
      </c>
      <c r="V391" s="7">
        <f>IF(Tabell2[[#This Row],[NIBR11-T]]&lt;=L$437,100,IF(Tabell2[[#This Row],[NIBR11-T]]&gt;=L$436,0,100*(L$436-Tabell2[[#This Row],[NIBR11-T]])/L$439))</f>
        <v>60</v>
      </c>
      <c r="W391" s="7">
        <f>(M$436-Tabell2[[#This Row],[ReisetidOslo-T]])*100/M$439</f>
        <v>14.503839122495044</v>
      </c>
      <c r="X391" s="7">
        <f>100-(N$436-Tabell2[[#This Row],[Beftettland-T]])*100/N$439</f>
        <v>3.468532545511934</v>
      </c>
      <c r="Y391" s="7">
        <f>100-(O$436-Tabell2[[#This Row],[Beftettotal-T]])*100/O$439</f>
        <v>3.5143260864549859</v>
      </c>
      <c r="Z391" s="7">
        <f>100-(P$436-Tabell2[[#This Row],[Befvekst10-T]])*100/P$439</f>
        <v>23.748506764915987</v>
      </c>
      <c r="AA391" s="7">
        <f>100-(Q$436-Tabell2[[#This Row],[Kvinneandel-T]])*100/Q$439</f>
        <v>44.092179164557237</v>
      </c>
      <c r="AB391" s="7">
        <f>(R$436-Tabell2[[#This Row],[Eldreandel-T]])*100/R$439</f>
        <v>40.040540119551018</v>
      </c>
      <c r="AC391" s="7">
        <f>100-(S$436-Tabell2[[#This Row],[Sysselsettingsvekst10-T]])*100/S$439</f>
        <v>0</v>
      </c>
      <c r="AD391" s="7">
        <f>100-(T$436-Tabell2[[#This Row],[Yrkesaktivandel-T]])*100/T$439</f>
        <v>26.601596071943177</v>
      </c>
      <c r="AE391" s="7">
        <f>100-(U$436-Tabell2[[#This Row],[Inntekt-T]])*100/U$439</f>
        <v>0</v>
      </c>
      <c r="AF391" s="7">
        <v>12</v>
      </c>
      <c r="AG391" s="7">
        <v>1.4503839122495046</v>
      </c>
      <c r="AH391" s="7">
        <v>0.35143260864549863</v>
      </c>
      <c r="AI391" s="7">
        <v>4.7497013529831973</v>
      </c>
      <c r="AJ391" s="7">
        <v>2.2046089582278618</v>
      </c>
      <c r="AK391" s="7">
        <v>2.0020270059775509</v>
      </c>
      <c r="AL391" s="7">
        <v>0</v>
      </c>
      <c r="AM391" s="7">
        <v>2.6601596071943181</v>
      </c>
      <c r="AN391" s="7">
        <v>0</v>
      </c>
      <c r="AO39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25.418313445277931</v>
      </c>
    </row>
    <row r="392" spans="1:41" x14ac:dyDescent="0.3">
      <c r="A392" s="2" t="s">
        <v>389</v>
      </c>
      <c r="B392">
        <f>'Rådata-K'!N391</f>
        <v>5</v>
      </c>
      <c r="C392" s="7">
        <f>'Rådata-K'!M391</f>
        <v>212.48333333329998</v>
      </c>
      <c r="D392" s="24">
        <f>'Rådata-K'!O391</f>
        <v>6.5430212793424705</v>
      </c>
      <c r="E392" s="24">
        <f>'Rådata-K'!P391</f>
        <v>6.1434343434343432</v>
      </c>
      <c r="F392" s="24">
        <f>'Rådata-K'!Q391</f>
        <v>4.2152159013022716E-2</v>
      </c>
      <c r="G392" s="24">
        <f>'Rådata-K'!R391</f>
        <v>0.10095363367313384</v>
      </c>
      <c r="H392" s="24">
        <f>'Rådata-K'!S391</f>
        <v>0.19993423216047354</v>
      </c>
      <c r="I392" s="24">
        <f>'Rådata-K'!T391</f>
        <v>-3.0451866404715089E-2</v>
      </c>
      <c r="J392" s="24">
        <f>'Rådata-K'!U391</f>
        <v>0.82938388625592419</v>
      </c>
      <c r="K392" s="24">
        <f>'Rådata-K'!L391</f>
        <v>362300</v>
      </c>
      <c r="L392" s="24">
        <f>Tabell2[[#This Row],[NIBR11]]</f>
        <v>5</v>
      </c>
      <c r="M392" s="24">
        <f>IF(Tabell2[[#This Row],[ReisetidOslo]]&lt;=C$434,C$434,IF(Tabell2[[#This Row],[ReisetidOslo]]&gt;=C$435,C$435,Tabell2[[#This Row],[ReisetidOslo]]))</f>
        <v>212.48333333329998</v>
      </c>
      <c r="N392" s="24">
        <f>IF(Tabell2[[#This Row],[Beftettland]]&lt;=D$434,D$434,IF(Tabell2[[#This Row],[Beftettland]]&gt;=D$435,D$435,Tabell2[[#This Row],[Beftettland]]))</f>
        <v>6.5430212793424705</v>
      </c>
      <c r="O392" s="24">
        <f>IF(Tabell2[[#This Row],[Beftettotal]]&lt;=E$434,E$434,IF(Tabell2[[#This Row],[Beftettotal]]&gt;=E$435,E$435,Tabell2[[#This Row],[Beftettotal]]))</f>
        <v>6.1434343434343432</v>
      </c>
      <c r="P392" s="24">
        <f>IF(Tabell2[[#This Row],[Befvekst10]]&lt;=F$434,F$434,IF(Tabell2[[#This Row],[Befvekst10]]&gt;=F$435,F$435,Tabell2[[#This Row],[Befvekst10]]))</f>
        <v>4.2152159013022716E-2</v>
      </c>
      <c r="Q392" s="24">
        <f>IF(Tabell2[[#This Row],[Kvinneandel]]&lt;=G$434,G$434,IF(Tabell2[[#This Row],[Kvinneandel]]&gt;=G$435,G$435,Tabell2[[#This Row],[Kvinneandel]]))</f>
        <v>0.10095363367313384</v>
      </c>
      <c r="R392" s="24">
        <f>IF(Tabell2[[#This Row],[Eldreandel]]&lt;=H$434,H$434,IF(Tabell2[[#This Row],[Eldreandel]]&gt;=H$435,H$435,Tabell2[[#This Row],[Eldreandel]]))</f>
        <v>0.19993423216047354</v>
      </c>
      <c r="S392" s="24">
        <f>IF(Tabell2[[#This Row],[Sysselsettingsvekst10]]&lt;=I$434,I$434,IF(Tabell2[[#This Row],[Sysselsettingsvekst10]]&gt;=I$435,I$435,Tabell2[[#This Row],[Sysselsettingsvekst10]]))</f>
        <v>-3.0451866404715089E-2</v>
      </c>
      <c r="T392" s="24">
        <f>IF(Tabell2[[#This Row],[Yrkesaktivandel]]&lt;=J$434,J$434,IF(Tabell2[[#This Row],[Yrkesaktivandel]]&gt;=J$435,J$435,Tabell2[[#This Row],[Yrkesaktivandel]]))</f>
        <v>0.82938388625592419</v>
      </c>
      <c r="U392" s="24">
        <f>IF(Tabell2[[#This Row],[Inntekt]]&lt;=K$434,K$434,IF(Tabell2[[#This Row],[Inntekt]]&gt;=K$435,K$435,Tabell2[[#This Row],[Inntekt]]))</f>
        <v>362300</v>
      </c>
      <c r="V392" s="7">
        <f>IF(Tabell2[[#This Row],[NIBR11-T]]&lt;=L$437,100,IF(Tabell2[[#This Row],[NIBR11-T]]&gt;=L$436,0,100*(L$436-Tabell2[[#This Row],[NIBR11-T]])/L$439))</f>
        <v>60</v>
      </c>
      <c r="W392" s="7">
        <f>(M$436-Tabell2[[#This Row],[ReisetidOslo-T]])*100/M$439</f>
        <v>29.823765996365513</v>
      </c>
      <c r="X392" s="7">
        <f>100-(N$436-Tabell2[[#This Row],[Beftettland-T]])*100/N$439</f>
        <v>3.8024314905978684</v>
      </c>
      <c r="Y392" s="7">
        <f>100-(O$436-Tabell2[[#This Row],[Beftettotal-T]])*100/O$439</f>
        <v>3.6935251070980541</v>
      </c>
      <c r="Z392" s="7">
        <f>100-(P$436-Tabell2[[#This Row],[Befvekst10-T]])*100/P$439</f>
        <v>45.825031254152144</v>
      </c>
      <c r="AA392" s="7">
        <f>100-(Q$436-Tabell2[[#This Row],[Kvinneandel-T]])*100/Q$439</f>
        <v>30.031985717687505</v>
      </c>
      <c r="AB392" s="7">
        <f>(R$436-Tabell2[[#This Row],[Eldreandel-T]])*100/R$439</f>
        <v>22.011109166792483</v>
      </c>
      <c r="AC392" s="7">
        <f>100-(S$436-Tabell2[[#This Row],[Sysselsettingsvekst10-T]])*100/S$439</f>
        <v>20.272401445409685</v>
      </c>
      <c r="AD392" s="7">
        <f>100-(T$436-Tabell2[[#This Row],[Yrkesaktivandel-T]])*100/T$439</f>
        <v>21.511193673560641</v>
      </c>
      <c r="AE392" s="7">
        <f>100-(U$436-Tabell2[[#This Row],[Inntekt-T]])*100/U$439</f>
        <v>20.189594853853961</v>
      </c>
      <c r="AF392" s="7">
        <v>12</v>
      </c>
      <c r="AG392" s="7">
        <v>2.9823765996365514</v>
      </c>
      <c r="AH392" s="7">
        <v>0.36935251070980546</v>
      </c>
      <c r="AI392" s="7">
        <v>9.1650062508304284</v>
      </c>
      <c r="AJ392" s="7">
        <v>1.5015992858843754</v>
      </c>
      <c r="AK392" s="7">
        <v>1.1005554583396242</v>
      </c>
      <c r="AL392" s="7">
        <v>2.0272401445409685</v>
      </c>
      <c r="AM392" s="7">
        <v>2.1511193673560642</v>
      </c>
      <c r="AN392" s="7">
        <v>2.018959485385396</v>
      </c>
      <c r="AO39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33.31620910268321</v>
      </c>
    </row>
    <row r="393" spans="1:41" x14ac:dyDescent="0.3">
      <c r="A393" s="2" t="s">
        <v>390</v>
      </c>
      <c r="B393">
        <f>'Rådata-K'!N392</f>
        <v>11</v>
      </c>
      <c r="C393" s="7">
        <f>'Rådata-K'!M392</f>
        <v>292.56666666670003</v>
      </c>
      <c r="D393" s="24">
        <f>'Rådata-K'!O392</f>
        <v>5.9916296549367951</v>
      </c>
      <c r="E393" s="24">
        <f>'Rådata-K'!P392</f>
        <v>5.8201277690201607</v>
      </c>
      <c r="F393" s="24">
        <f>'Rådata-K'!Q392</f>
        <v>-0.13926380368098157</v>
      </c>
      <c r="G393" s="24">
        <f>'Rådata-K'!R392</f>
        <v>8.339272986457591E-2</v>
      </c>
      <c r="H393" s="24">
        <f>'Rådata-K'!S392</f>
        <v>0.26728439059158943</v>
      </c>
      <c r="I393" s="24">
        <f>'Rådata-K'!T392</f>
        <v>3.6496350364962904E-3</v>
      </c>
      <c r="J393" s="24">
        <f>'Rådata-K'!U392</f>
        <v>0.87083333333333335</v>
      </c>
      <c r="K393" s="24">
        <f>'Rådata-K'!L392</f>
        <v>344600</v>
      </c>
      <c r="L393" s="24">
        <f>Tabell2[[#This Row],[NIBR11]]</f>
        <v>11</v>
      </c>
      <c r="M393" s="24">
        <f>IF(Tabell2[[#This Row],[ReisetidOslo]]&lt;=C$434,C$434,IF(Tabell2[[#This Row],[ReisetidOslo]]&gt;=C$435,C$435,Tabell2[[#This Row],[ReisetidOslo]]))</f>
        <v>280.45666666669001</v>
      </c>
      <c r="N393" s="24">
        <f>IF(Tabell2[[#This Row],[Beftettland]]&lt;=D$434,D$434,IF(Tabell2[[#This Row],[Beftettland]]&gt;=D$435,D$435,Tabell2[[#This Row],[Beftettland]]))</f>
        <v>5.9916296549367951</v>
      </c>
      <c r="O393" s="24">
        <f>IF(Tabell2[[#This Row],[Beftettotal]]&lt;=E$434,E$434,IF(Tabell2[[#This Row],[Beftettotal]]&gt;=E$435,E$435,Tabell2[[#This Row],[Beftettotal]]))</f>
        <v>5.8201277690201607</v>
      </c>
      <c r="P393" s="24">
        <f>IF(Tabell2[[#This Row],[Befvekst10]]&lt;=F$434,F$434,IF(Tabell2[[#This Row],[Befvekst10]]&gt;=F$435,F$435,Tabell2[[#This Row],[Befvekst10]]))</f>
        <v>-7.1062862685144085E-2</v>
      </c>
      <c r="Q393" s="24">
        <f>IF(Tabell2[[#This Row],[Kvinneandel]]&lt;=G$434,G$434,IF(Tabell2[[#This Row],[Kvinneandel]]&gt;=G$435,G$435,Tabell2[[#This Row],[Kvinneandel]]))</f>
        <v>8.9521819157910881E-2</v>
      </c>
      <c r="R393" s="24">
        <f>IF(Tabell2[[#This Row],[Eldreandel]]&lt;=H$434,H$434,IF(Tabell2[[#This Row],[Eldreandel]]&gt;=H$435,H$435,Tabell2[[#This Row],[Eldreandel]]))</f>
        <v>0.22032896051974013</v>
      </c>
      <c r="S393" s="24">
        <f>IF(Tabell2[[#This Row],[Sysselsettingsvekst10]]&lt;=I$434,I$434,IF(Tabell2[[#This Row],[Sysselsettingsvekst10]]&gt;=I$435,I$435,Tabell2[[#This Row],[Sysselsettingsvekst10]]))</f>
        <v>3.6496350364962904E-3</v>
      </c>
      <c r="T393" s="24">
        <f>IF(Tabell2[[#This Row],[Yrkesaktivandel]]&lt;=J$434,J$434,IF(Tabell2[[#This Row],[Yrkesaktivandel]]&gt;=J$435,J$435,Tabell2[[#This Row],[Yrkesaktivandel]]))</f>
        <v>0.87083333333333335</v>
      </c>
      <c r="U393" s="24">
        <f>IF(Tabell2[[#This Row],[Inntekt]]&lt;=K$434,K$434,IF(Tabell2[[#This Row],[Inntekt]]&gt;=K$435,K$435,Tabell2[[#This Row],[Inntekt]]))</f>
        <v>344600</v>
      </c>
      <c r="V393" s="7">
        <f>IF(Tabell2[[#This Row],[NIBR11-T]]&lt;=L$437,100,IF(Tabell2[[#This Row],[NIBR11-T]]&gt;=L$436,0,100*(L$436-Tabell2[[#This Row],[NIBR11-T]])/L$439))</f>
        <v>0</v>
      </c>
      <c r="W393" s="7">
        <f>(M$436-Tabell2[[#This Row],[ReisetidOslo-T]])*100/M$439</f>
        <v>0</v>
      </c>
      <c r="X393" s="7">
        <f>100-(N$436-Tabell2[[#This Row],[Beftettland-T]])*100/N$439</f>
        <v>3.3945650416611528</v>
      </c>
      <c r="Y393" s="7">
        <f>100-(O$436-Tabell2[[#This Row],[Beftettotal-T]])*100/O$439</f>
        <v>3.4460537865735859</v>
      </c>
      <c r="Z393" s="7">
        <f>100-(P$436-Tabell2[[#This Row],[Befvekst10-T]])*100/P$439</f>
        <v>0</v>
      </c>
      <c r="AA393" s="7">
        <f>100-(Q$436-Tabell2[[#This Row],[Kvinneandel-T]])*100/Q$439</f>
        <v>0</v>
      </c>
      <c r="AB393" s="7">
        <f>(R$436-Tabell2[[#This Row],[Eldreandel-T]])*100/R$439</f>
        <v>0</v>
      </c>
      <c r="AC393" s="7">
        <f>100-(S$436-Tabell2[[#This Row],[Sysselsettingsvekst10-T]])*100/S$439</f>
        <v>31.401470801361683</v>
      </c>
      <c r="AD393" s="7">
        <f>100-(T$436-Tabell2[[#This Row],[Yrkesaktivandel-T]])*100/T$439</f>
        <v>50.745232640537616</v>
      </c>
      <c r="AE393" s="7">
        <f>100-(U$436-Tabell2[[#This Row],[Inntekt-T]])*100/U$439</f>
        <v>0.21442275138245748</v>
      </c>
      <c r="AF393" s="7">
        <v>0</v>
      </c>
      <c r="AG393" s="7">
        <v>0</v>
      </c>
      <c r="AH393" s="7">
        <v>0.34460537865735863</v>
      </c>
      <c r="AI393" s="7">
        <v>0</v>
      </c>
      <c r="AJ393" s="7">
        <v>0</v>
      </c>
      <c r="AK393" s="7">
        <v>0</v>
      </c>
      <c r="AL393" s="7">
        <v>3.1401470801361686</v>
      </c>
      <c r="AM393" s="7">
        <v>5.0745232640537621</v>
      </c>
      <c r="AN393" s="7">
        <v>2.1442275138245748E-2</v>
      </c>
      <c r="AO39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8.5807179979855341</v>
      </c>
    </row>
    <row r="394" spans="1:41" x14ac:dyDescent="0.3">
      <c r="A394" s="2" t="s">
        <v>391</v>
      </c>
      <c r="B394">
        <f>'Rådata-K'!N393</f>
        <v>5</v>
      </c>
      <c r="C394" s="7">
        <f>'Rådata-K'!M393</f>
        <v>251.75</v>
      </c>
      <c r="D394" s="24">
        <f>'Rådata-K'!O393</f>
        <v>3.7229862475442048</v>
      </c>
      <c r="E394" s="24">
        <f>'Rådata-K'!P393</f>
        <v>3.635607853168767</v>
      </c>
      <c r="F394" s="24">
        <f>'Rådata-K'!Q393</f>
        <v>-8.6746987951807242E-2</v>
      </c>
      <c r="G394" s="24">
        <f>'Rådata-K'!R393</f>
        <v>9.2348284960422161E-2</v>
      </c>
      <c r="H394" s="24">
        <f>'Rådata-K'!S393</f>
        <v>0.23482849604221637</v>
      </c>
      <c r="I394" s="24">
        <f>'Rådata-K'!T393</f>
        <v>0.1333333333333333</v>
      </c>
      <c r="J394" s="24">
        <f>'Rådata-K'!U393</f>
        <v>0.80226904376012964</v>
      </c>
      <c r="K394" s="24">
        <f>'Rådata-K'!L393</f>
        <v>342200</v>
      </c>
      <c r="L394" s="24">
        <f>Tabell2[[#This Row],[NIBR11]]</f>
        <v>5</v>
      </c>
      <c r="M394" s="24">
        <f>IF(Tabell2[[#This Row],[ReisetidOslo]]&lt;=C$434,C$434,IF(Tabell2[[#This Row],[ReisetidOslo]]&gt;=C$435,C$435,Tabell2[[#This Row],[ReisetidOslo]]))</f>
        <v>251.75</v>
      </c>
      <c r="N394" s="24">
        <f>IF(Tabell2[[#This Row],[Beftettland]]&lt;=D$434,D$434,IF(Tabell2[[#This Row],[Beftettland]]&gt;=D$435,D$435,Tabell2[[#This Row],[Beftettland]]))</f>
        <v>3.7229862475442048</v>
      </c>
      <c r="O394" s="24">
        <f>IF(Tabell2[[#This Row],[Beftettotal]]&lt;=E$434,E$434,IF(Tabell2[[#This Row],[Beftettotal]]&gt;=E$435,E$435,Tabell2[[#This Row],[Beftettotal]]))</f>
        <v>3.635607853168767</v>
      </c>
      <c r="P394" s="24">
        <f>IF(Tabell2[[#This Row],[Befvekst10]]&lt;=F$434,F$434,IF(Tabell2[[#This Row],[Befvekst10]]&gt;=F$435,F$435,Tabell2[[#This Row],[Befvekst10]]))</f>
        <v>-7.1062862685144085E-2</v>
      </c>
      <c r="Q394" s="24">
        <f>IF(Tabell2[[#This Row],[Kvinneandel]]&lt;=G$434,G$434,IF(Tabell2[[#This Row],[Kvinneandel]]&gt;=G$435,G$435,Tabell2[[#This Row],[Kvinneandel]]))</f>
        <v>9.2348284960422161E-2</v>
      </c>
      <c r="R394" s="24">
        <f>IF(Tabell2[[#This Row],[Eldreandel]]&lt;=H$434,H$434,IF(Tabell2[[#This Row],[Eldreandel]]&gt;=H$435,H$435,Tabell2[[#This Row],[Eldreandel]]))</f>
        <v>0.22032896051974013</v>
      </c>
      <c r="S394" s="24">
        <f>IF(Tabell2[[#This Row],[Sysselsettingsvekst10]]&lt;=I$434,I$434,IF(Tabell2[[#This Row],[Sysselsettingsvekst10]]&gt;=I$435,I$435,Tabell2[[#This Row],[Sysselsettingsvekst10]]))</f>
        <v>0.1333333333333333</v>
      </c>
      <c r="T394" s="24">
        <f>IF(Tabell2[[#This Row],[Yrkesaktivandel]]&lt;=J$434,J$434,IF(Tabell2[[#This Row],[Yrkesaktivandel]]&gt;=J$435,J$435,Tabell2[[#This Row],[Yrkesaktivandel]]))</f>
        <v>0.80226904376012964</v>
      </c>
      <c r="U394" s="24">
        <f>IF(Tabell2[[#This Row],[Inntekt]]&lt;=K$434,K$434,IF(Tabell2[[#This Row],[Inntekt]]&gt;=K$435,K$435,Tabell2[[#This Row],[Inntekt]]))</f>
        <v>344410</v>
      </c>
      <c r="V394" s="7">
        <f>IF(Tabell2[[#This Row],[NIBR11-T]]&lt;=L$437,100,IF(Tabell2[[#This Row],[NIBR11-T]]&gt;=L$436,0,100*(L$436-Tabell2[[#This Row],[NIBR11-T]])/L$439))</f>
        <v>60</v>
      </c>
      <c r="W394" s="7">
        <f>(M$436-Tabell2[[#This Row],[ReisetidOslo-T]])*100/M$439</f>
        <v>12.595246800740213</v>
      </c>
      <c r="X394" s="7">
        <f>100-(N$436-Tabell2[[#This Row],[Beftettland-T]])*100/N$439</f>
        <v>1.7164410196028825</v>
      </c>
      <c r="Y394" s="7">
        <f>100-(O$436-Tabell2[[#This Row],[Beftettotal-T]])*100/O$439</f>
        <v>1.7739379959581072</v>
      </c>
      <c r="Z394" s="7">
        <f>100-(P$436-Tabell2[[#This Row],[Befvekst10-T]])*100/P$439</f>
        <v>0</v>
      </c>
      <c r="AA394" s="7">
        <f>100-(Q$436-Tabell2[[#This Row],[Kvinneandel-T]])*100/Q$439</f>
        <v>7.4252762323528145</v>
      </c>
      <c r="AB394" s="7">
        <f>(R$436-Tabell2[[#This Row],[Eldreandel-T]])*100/R$439</f>
        <v>0</v>
      </c>
      <c r="AC394" s="7">
        <f>100-(S$436-Tabell2[[#This Row],[Sysselsettingsvekst10-T]])*100/S$439</f>
        <v>73.723914438335612</v>
      </c>
      <c r="AD394" s="7">
        <f>100-(T$436-Tabell2[[#This Row],[Yrkesaktivandel-T]])*100/T$439</f>
        <v>2.3872627650220295</v>
      </c>
      <c r="AE394" s="7">
        <f>100-(U$436-Tabell2[[#This Row],[Inntekt-T]])*100/U$439</f>
        <v>0</v>
      </c>
      <c r="AF394" s="7">
        <v>12</v>
      </c>
      <c r="AG394" s="7">
        <v>1.2595246800740214</v>
      </c>
      <c r="AH394" s="7">
        <v>0.17739379959581072</v>
      </c>
      <c r="AI394" s="7">
        <v>0</v>
      </c>
      <c r="AJ394" s="7">
        <v>0.37126381161764077</v>
      </c>
      <c r="AK394" s="7">
        <v>0</v>
      </c>
      <c r="AL394" s="7">
        <v>7.3723914438335614</v>
      </c>
      <c r="AM394" s="7">
        <v>0.23872627650220296</v>
      </c>
      <c r="AN394" s="7">
        <v>0</v>
      </c>
      <c r="AO39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21.419300011623235</v>
      </c>
    </row>
    <row r="395" spans="1:41" x14ac:dyDescent="0.3">
      <c r="A395" s="2" t="s">
        <v>392</v>
      </c>
      <c r="B395">
        <f>'Rådata-K'!N394</f>
        <v>11</v>
      </c>
      <c r="C395" s="7">
        <f>'Rådata-K'!M394</f>
        <v>262.53333333329999</v>
      </c>
      <c r="D395" s="24">
        <f>'Rådata-K'!O394</f>
        <v>3.5493566579987164</v>
      </c>
      <c r="E395" s="24">
        <f>'Rådata-K'!P394</f>
        <v>3.4842859037262963</v>
      </c>
      <c r="F395" s="24">
        <f>'Rådata-K'!Q394</f>
        <v>1.5458937198067568E-2</v>
      </c>
      <c r="G395" s="24">
        <f>'Rådata-K'!R394</f>
        <v>9.3244529019980968E-2</v>
      </c>
      <c r="H395" s="24">
        <f>'Rådata-K'!S394</f>
        <v>0.21693625118934348</v>
      </c>
      <c r="I395" s="24">
        <f>'Rådata-K'!T394</f>
        <v>-2.9069767441860517E-3</v>
      </c>
      <c r="J395" s="24">
        <f>'Rådata-K'!U394</f>
        <v>0.81333333333333335</v>
      </c>
      <c r="K395" s="24">
        <f>'Rådata-K'!L394</f>
        <v>337400</v>
      </c>
      <c r="L395" s="24">
        <f>Tabell2[[#This Row],[NIBR11]]</f>
        <v>11</v>
      </c>
      <c r="M395" s="24">
        <f>IF(Tabell2[[#This Row],[ReisetidOslo]]&lt;=C$434,C$434,IF(Tabell2[[#This Row],[ReisetidOslo]]&gt;=C$435,C$435,Tabell2[[#This Row],[ReisetidOslo]]))</f>
        <v>262.53333333329999</v>
      </c>
      <c r="N395" s="24">
        <f>IF(Tabell2[[#This Row],[Beftettland]]&lt;=D$434,D$434,IF(Tabell2[[#This Row],[Beftettland]]&gt;=D$435,D$435,Tabell2[[#This Row],[Beftettland]]))</f>
        <v>3.5493566579987164</v>
      </c>
      <c r="O395" s="24">
        <f>IF(Tabell2[[#This Row],[Beftettotal]]&lt;=E$434,E$434,IF(Tabell2[[#This Row],[Beftettotal]]&gt;=E$435,E$435,Tabell2[[#This Row],[Beftettotal]]))</f>
        <v>3.4842859037262963</v>
      </c>
      <c r="P395" s="24">
        <f>IF(Tabell2[[#This Row],[Befvekst10]]&lt;=F$434,F$434,IF(Tabell2[[#This Row],[Befvekst10]]&gt;=F$435,F$435,Tabell2[[#This Row],[Befvekst10]]))</f>
        <v>1.5458937198067568E-2</v>
      </c>
      <c r="Q395" s="24">
        <f>IF(Tabell2[[#This Row],[Kvinneandel]]&lt;=G$434,G$434,IF(Tabell2[[#This Row],[Kvinneandel]]&gt;=G$435,G$435,Tabell2[[#This Row],[Kvinneandel]]))</f>
        <v>9.3244529019980968E-2</v>
      </c>
      <c r="R395" s="24">
        <f>IF(Tabell2[[#This Row],[Eldreandel]]&lt;=H$434,H$434,IF(Tabell2[[#This Row],[Eldreandel]]&gt;=H$435,H$435,Tabell2[[#This Row],[Eldreandel]]))</f>
        <v>0.21693625118934348</v>
      </c>
      <c r="S395" s="24">
        <f>IF(Tabell2[[#This Row],[Sysselsettingsvekst10]]&lt;=I$434,I$434,IF(Tabell2[[#This Row],[Sysselsettingsvekst10]]&gt;=I$435,I$435,Tabell2[[#This Row],[Sysselsettingsvekst10]]))</f>
        <v>-2.9069767441860517E-3</v>
      </c>
      <c r="T395" s="24">
        <f>IF(Tabell2[[#This Row],[Yrkesaktivandel]]&lt;=J$434,J$434,IF(Tabell2[[#This Row],[Yrkesaktivandel]]&gt;=J$435,J$435,Tabell2[[#This Row],[Yrkesaktivandel]]))</f>
        <v>0.81333333333333335</v>
      </c>
      <c r="U395" s="24">
        <f>IF(Tabell2[[#This Row],[Inntekt]]&lt;=K$434,K$434,IF(Tabell2[[#This Row],[Inntekt]]&gt;=K$435,K$435,Tabell2[[#This Row],[Inntekt]]))</f>
        <v>344410</v>
      </c>
      <c r="V395" s="7">
        <f>IF(Tabell2[[#This Row],[NIBR11-T]]&lt;=L$437,100,IF(Tabell2[[#This Row],[NIBR11-T]]&gt;=L$436,0,100*(L$436-Tabell2[[#This Row],[NIBR11-T]])/L$439))</f>
        <v>0</v>
      </c>
      <c r="W395" s="7">
        <f>(M$436-Tabell2[[#This Row],[ReisetidOslo-T]])*100/M$439</f>
        <v>7.8639853747955462</v>
      </c>
      <c r="X395" s="7">
        <f>100-(N$436-Tabell2[[#This Row],[Beftettland-T]])*100/N$439</f>
        <v>1.588006562161496</v>
      </c>
      <c r="Y395" s="7">
        <f>100-(O$436-Tabell2[[#This Row],[Beftettotal-T]])*100/O$439</f>
        <v>1.6581103400537387</v>
      </c>
      <c r="Z395" s="7">
        <f>100-(P$436-Tabell2[[#This Row],[Befvekst10-T]])*100/P$439</f>
        <v>35.020654718276404</v>
      </c>
      <c r="AA395" s="7">
        <f>100-(Q$436-Tabell2[[#This Row],[Kvinneandel-T]])*100/Q$439</f>
        <v>9.7797571207883465</v>
      </c>
      <c r="AB395" s="7">
        <f>(R$436-Tabell2[[#This Row],[Eldreandel-T]])*100/R$439</f>
        <v>3.6615979446779701</v>
      </c>
      <c r="AC395" s="7">
        <f>100-(S$436-Tabell2[[#This Row],[Sysselsettingsvekst10-T]])*100/S$439</f>
        <v>29.261712017630146</v>
      </c>
      <c r="AD395" s="7">
        <f>100-(T$436-Tabell2[[#This Row],[Yrkesaktivandel-T]])*100/T$439</f>
        <v>10.19083785061693</v>
      </c>
      <c r="AE395" s="7">
        <f>100-(U$436-Tabell2[[#This Row],[Inntekt-T]])*100/U$439</f>
        <v>0</v>
      </c>
      <c r="AF395" s="7">
        <v>0</v>
      </c>
      <c r="AG395" s="7">
        <v>0.78639853747955468</v>
      </c>
      <c r="AH395" s="7">
        <v>0.16581103400537389</v>
      </c>
      <c r="AI395" s="7">
        <v>7.004130943655281</v>
      </c>
      <c r="AJ395" s="7">
        <v>0.48898785603941736</v>
      </c>
      <c r="AK395" s="7">
        <v>0.1830798972338985</v>
      </c>
      <c r="AL395" s="7">
        <v>2.9261712017630148</v>
      </c>
      <c r="AM395" s="7">
        <v>1.0190837850616929</v>
      </c>
      <c r="AN395" s="7">
        <v>0</v>
      </c>
      <c r="AO39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12.573663255238234</v>
      </c>
    </row>
    <row r="396" spans="1:41" x14ac:dyDescent="0.3">
      <c r="A396" s="2" t="s">
        <v>393</v>
      </c>
      <c r="B396">
        <f>'Rådata-K'!N395</f>
        <v>9</v>
      </c>
      <c r="C396" s="7">
        <f>'Rådata-K'!M395</f>
        <v>234.4333333333</v>
      </c>
      <c r="D396" s="24">
        <f>'Rådata-K'!O395</f>
        <v>1.5976879439954521</v>
      </c>
      <c r="E396" s="24">
        <f>'Rådata-K'!P395</f>
        <v>1.4863825317691612</v>
      </c>
      <c r="F396" s="24">
        <f>'Rådata-K'!Q395</f>
        <v>5.7909976309555189E-2</v>
      </c>
      <c r="G396" s="24">
        <f>'Rådata-K'!R395</f>
        <v>0.12615078377705896</v>
      </c>
      <c r="H396" s="24">
        <f>'Rådata-K'!S395</f>
        <v>0.15974122916148295</v>
      </c>
      <c r="I396" s="24">
        <f>'Rådata-K'!T395</f>
        <v>0.12747380675203734</v>
      </c>
      <c r="J396" s="24">
        <f>'Rådata-K'!U395</f>
        <v>0.91020753917831432</v>
      </c>
      <c r="K396" s="24">
        <f>'Rådata-K'!L395</f>
        <v>388400</v>
      </c>
      <c r="L396" s="24">
        <f>Tabell2[[#This Row],[NIBR11]]</f>
        <v>9</v>
      </c>
      <c r="M396" s="24">
        <f>IF(Tabell2[[#This Row],[ReisetidOslo]]&lt;=C$434,C$434,IF(Tabell2[[#This Row],[ReisetidOslo]]&gt;=C$435,C$435,Tabell2[[#This Row],[ReisetidOslo]]))</f>
        <v>234.4333333333</v>
      </c>
      <c r="N396" s="24">
        <f>IF(Tabell2[[#This Row],[Beftettland]]&lt;=D$434,D$434,IF(Tabell2[[#This Row],[Beftettland]]&gt;=D$435,D$435,Tabell2[[#This Row],[Beftettland]]))</f>
        <v>1.5976879439954521</v>
      </c>
      <c r="O396" s="24">
        <f>IF(Tabell2[[#This Row],[Beftettotal]]&lt;=E$434,E$434,IF(Tabell2[[#This Row],[Beftettotal]]&gt;=E$435,E$435,Tabell2[[#This Row],[Beftettotal]]))</f>
        <v>1.4863825317691612</v>
      </c>
      <c r="P396" s="24">
        <f>IF(Tabell2[[#This Row],[Befvekst10]]&lt;=F$434,F$434,IF(Tabell2[[#This Row],[Befvekst10]]&gt;=F$435,F$435,Tabell2[[#This Row],[Befvekst10]]))</f>
        <v>5.7909976309555189E-2</v>
      </c>
      <c r="Q396" s="24">
        <f>IF(Tabell2[[#This Row],[Kvinneandel]]&lt;=G$434,G$434,IF(Tabell2[[#This Row],[Kvinneandel]]&gt;=G$435,G$435,Tabell2[[#This Row],[Kvinneandel]]))</f>
        <v>0.12615078377705896</v>
      </c>
      <c r="R396" s="24">
        <f>IF(Tabell2[[#This Row],[Eldreandel]]&lt;=H$434,H$434,IF(Tabell2[[#This Row],[Eldreandel]]&gt;=H$435,H$435,Tabell2[[#This Row],[Eldreandel]]))</f>
        <v>0.15974122916148295</v>
      </c>
      <c r="S396" s="24">
        <f>IF(Tabell2[[#This Row],[Sysselsettingsvekst10]]&lt;=I$434,I$434,IF(Tabell2[[#This Row],[Sysselsettingsvekst10]]&gt;=I$435,I$435,Tabell2[[#This Row],[Sysselsettingsvekst10]]))</f>
        <v>0.12747380675203734</v>
      </c>
      <c r="T396" s="24">
        <f>IF(Tabell2[[#This Row],[Yrkesaktivandel]]&lt;=J$434,J$434,IF(Tabell2[[#This Row],[Yrkesaktivandel]]&gt;=J$435,J$435,Tabell2[[#This Row],[Yrkesaktivandel]]))</f>
        <v>0.91020753917831432</v>
      </c>
      <c r="U396" s="24">
        <f>IF(Tabell2[[#This Row],[Inntekt]]&lt;=K$434,K$434,IF(Tabell2[[#This Row],[Inntekt]]&gt;=K$435,K$435,Tabell2[[#This Row],[Inntekt]]))</f>
        <v>388400</v>
      </c>
      <c r="V396" s="7">
        <f>IF(Tabell2[[#This Row],[NIBR11-T]]&lt;=L$437,100,IF(Tabell2[[#This Row],[NIBR11-T]]&gt;=L$436,0,100*(L$436-Tabell2[[#This Row],[NIBR11-T]])/L$439))</f>
        <v>20</v>
      </c>
      <c r="W396" s="7">
        <f>(M$436-Tabell2[[#This Row],[ReisetidOslo-T]])*100/M$439</f>
        <v>20.193053016476181</v>
      </c>
      <c r="X396" s="7">
        <f>100-(N$436-Tabell2[[#This Row],[Beftettland-T]])*100/N$439</f>
        <v>0.14434990752988597</v>
      </c>
      <c r="Y396" s="7">
        <f>100-(O$436-Tabell2[[#This Row],[Beftettotal-T]])*100/O$439</f>
        <v>0.12883804908841512</v>
      </c>
      <c r="Z396" s="7">
        <f>100-(P$436-Tabell2[[#This Row],[Befvekst10-T]])*100/P$439</f>
        <v>52.203181956061272</v>
      </c>
      <c r="AA396" s="7">
        <f>100-(Q$436-Tabell2[[#This Row],[Kvinneandel-T]])*100/Q$439</f>
        <v>96.226241322502915</v>
      </c>
      <c r="AB396" s="7">
        <f>(R$436-Tabell2[[#This Row],[Eldreandel-T]])*100/R$439</f>
        <v>65.389601940393405</v>
      </c>
      <c r="AC396" s="7">
        <f>100-(S$436-Tabell2[[#This Row],[Sysselsettingsvekst10-T]])*100/S$439</f>
        <v>71.811650316220437</v>
      </c>
      <c r="AD396" s="7">
        <f>100-(T$436-Tabell2[[#This Row],[Yrkesaktivandel-T]])*100/T$439</f>
        <v>78.515616786223902</v>
      </c>
      <c r="AE396" s="7">
        <f>100-(U$436-Tabell2[[#This Row],[Inntekt-T]])*100/U$439</f>
        <v>49.64450964902381</v>
      </c>
      <c r="AF396" s="7">
        <v>4</v>
      </c>
      <c r="AG396" s="7">
        <v>2.0193053016476181</v>
      </c>
      <c r="AH396" s="7">
        <v>1.2883804908841513E-2</v>
      </c>
      <c r="AI396" s="7">
        <v>10.440636391212255</v>
      </c>
      <c r="AJ396" s="7">
        <v>4.8113120661251463</v>
      </c>
      <c r="AK396" s="7">
        <v>3.2694800970196702</v>
      </c>
      <c r="AL396" s="7">
        <v>7.1811650316220437</v>
      </c>
      <c r="AM396" s="7">
        <v>7.8515616786223905</v>
      </c>
      <c r="AN396" s="7">
        <v>4.9644509649023814</v>
      </c>
      <c r="AO39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44.550795336060347</v>
      </c>
    </row>
    <row r="397" spans="1:41" x14ac:dyDescent="0.3">
      <c r="A397" s="2" t="s">
        <v>394</v>
      </c>
      <c r="B397">
        <f>'Rådata-K'!N396</f>
        <v>11</v>
      </c>
      <c r="C397" s="7">
        <f>'Rådata-K'!M396</f>
        <v>257.8</v>
      </c>
      <c r="D397" s="24">
        <f>'Rådata-K'!O396</f>
        <v>5.0907430658600612</v>
      </c>
      <c r="E397" s="24">
        <f>'Rådata-K'!P396</f>
        <v>4.8694209101231545</v>
      </c>
      <c r="F397" s="24">
        <f>'Rådata-K'!Q396</f>
        <v>-1.4582412726469318E-2</v>
      </c>
      <c r="G397" s="24">
        <f>'Rådata-K'!R396</f>
        <v>8.2062780269058291E-2</v>
      </c>
      <c r="H397" s="24">
        <f>'Rådata-K'!S396</f>
        <v>0.18609865470852019</v>
      </c>
      <c r="I397" s="24">
        <f>'Rådata-K'!T396</f>
        <v>9.375E-2</v>
      </c>
      <c r="J397" s="24">
        <f>'Rådata-K'!U396</f>
        <v>0.84698097601323408</v>
      </c>
      <c r="K397" s="24">
        <f>'Rådata-K'!L396</f>
        <v>329800</v>
      </c>
      <c r="L397" s="24">
        <f>Tabell2[[#This Row],[NIBR11]]</f>
        <v>11</v>
      </c>
      <c r="M397" s="24">
        <f>IF(Tabell2[[#This Row],[ReisetidOslo]]&lt;=C$434,C$434,IF(Tabell2[[#This Row],[ReisetidOslo]]&gt;=C$435,C$435,Tabell2[[#This Row],[ReisetidOslo]]))</f>
        <v>257.8</v>
      </c>
      <c r="N397" s="24">
        <f>IF(Tabell2[[#This Row],[Beftettland]]&lt;=D$434,D$434,IF(Tabell2[[#This Row],[Beftettland]]&gt;=D$435,D$435,Tabell2[[#This Row],[Beftettland]]))</f>
        <v>5.0907430658600612</v>
      </c>
      <c r="O397" s="24">
        <f>IF(Tabell2[[#This Row],[Beftettotal]]&lt;=E$434,E$434,IF(Tabell2[[#This Row],[Beftettotal]]&gt;=E$435,E$435,Tabell2[[#This Row],[Beftettotal]]))</f>
        <v>4.8694209101231545</v>
      </c>
      <c r="P397" s="24">
        <f>IF(Tabell2[[#This Row],[Befvekst10]]&lt;=F$434,F$434,IF(Tabell2[[#This Row],[Befvekst10]]&gt;=F$435,F$435,Tabell2[[#This Row],[Befvekst10]]))</f>
        <v>-1.4582412726469318E-2</v>
      </c>
      <c r="Q397" s="24">
        <f>IF(Tabell2[[#This Row],[Kvinneandel]]&lt;=G$434,G$434,IF(Tabell2[[#This Row],[Kvinneandel]]&gt;=G$435,G$435,Tabell2[[#This Row],[Kvinneandel]]))</f>
        <v>8.9521819157910881E-2</v>
      </c>
      <c r="R397" s="24">
        <f>IF(Tabell2[[#This Row],[Eldreandel]]&lt;=H$434,H$434,IF(Tabell2[[#This Row],[Eldreandel]]&gt;=H$435,H$435,Tabell2[[#This Row],[Eldreandel]]))</f>
        <v>0.18609865470852019</v>
      </c>
      <c r="S397" s="24">
        <f>IF(Tabell2[[#This Row],[Sysselsettingsvekst10]]&lt;=I$434,I$434,IF(Tabell2[[#This Row],[Sysselsettingsvekst10]]&gt;=I$435,I$435,Tabell2[[#This Row],[Sysselsettingsvekst10]]))</f>
        <v>9.375E-2</v>
      </c>
      <c r="T397" s="24">
        <f>IF(Tabell2[[#This Row],[Yrkesaktivandel]]&lt;=J$434,J$434,IF(Tabell2[[#This Row],[Yrkesaktivandel]]&gt;=J$435,J$435,Tabell2[[#This Row],[Yrkesaktivandel]]))</f>
        <v>0.84698097601323408</v>
      </c>
      <c r="U397" s="24">
        <f>IF(Tabell2[[#This Row],[Inntekt]]&lt;=K$434,K$434,IF(Tabell2[[#This Row],[Inntekt]]&gt;=K$435,K$435,Tabell2[[#This Row],[Inntekt]]))</f>
        <v>344410</v>
      </c>
      <c r="V397" s="7">
        <f>IF(Tabell2[[#This Row],[NIBR11-T]]&lt;=L$437,100,IF(Tabell2[[#This Row],[NIBR11-T]]&gt;=L$436,0,100*(L$436-Tabell2[[#This Row],[NIBR11-T]])/L$439))</f>
        <v>0</v>
      </c>
      <c r="W397" s="7">
        <f>(M$436-Tabell2[[#This Row],[ReisetidOslo-T]])*100/M$439</f>
        <v>9.9407678245064766</v>
      </c>
      <c r="X397" s="7">
        <f>100-(N$436-Tabell2[[#This Row],[Beftettland-T]])*100/N$439</f>
        <v>2.7281758588775347</v>
      </c>
      <c r="Y397" s="7">
        <f>100-(O$436-Tabell2[[#This Row],[Beftettotal-T]])*100/O$439</f>
        <v>2.718346092323273</v>
      </c>
      <c r="Z397" s="7">
        <f>100-(P$436-Tabell2[[#This Row],[Befvekst10-T]])*100/P$439</f>
        <v>22.86108632744056</v>
      </c>
      <c r="AA397" s="7">
        <f>100-(Q$436-Tabell2[[#This Row],[Kvinneandel-T]])*100/Q$439</f>
        <v>0</v>
      </c>
      <c r="AB397" s="7">
        <f>(R$436-Tabell2[[#This Row],[Eldreandel-T]])*100/R$439</f>
        <v>36.943223010916718</v>
      </c>
      <c r="AC397" s="7">
        <f>100-(S$436-Tabell2[[#This Row],[Sysselsettingsvekst10-T]])*100/S$439</f>
        <v>60.805842113400921</v>
      </c>
      <c r="AD397" s="7">
        <f>100-(T$436-Tabell2[[#This Row],[Yrkesaktivandel-T]])*100/T$439</f>
        <v>33.922312372197425</v>
      </c>
      <c r="AE397" s="7">
        <f>100-(U$436-Tabell2[[#This Row],[Inntekt-T]])*100/U$439</f>
        <v>0</v>
      </c>
      <c r="AF397" s="7">
        <v>0</v>
      </c>
      <c r="AG397" s="7">
        <v>0.99407678245064768</v>
      </c>
      <c r="AH397" s="7">
        <v>0.27183460923232733</v>
      </c>
      <c r="AI397" s="7">
        <v>4.5722172654881126</v>
      </c>
      <c r="AJ397" s="7">
        <v>0</v>
      </c>
      <c r="AK397" s="7">
        <v>1.8471611505458361</v>
      </c>
      <c r="AL397" s="7">
        <v>6.0805842113400921</v>
      </c>
      <c r="AM397" s="7">
        <v>3.3922312372197427</v>
      </c>
      <c r="AN397" s="7">
        <v>0</v>
      </c>
      <c r="AO39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17.158105256276759</v>
      </c>
    </row>
    <row r="398" spans="1:41" x14ac:dyDescent="0.3">
      <c r="A398" s="2" t="s">
        <v>395</v>
      </c>
      <c r="B398">
        <f>'Rådata-K'!N397</f>
        <v>9</v>
      </c>
      <c r="C398" s="7">
        <f>'Rådata-K'!M397</f>
        <v>221.5833333333</v>
      </c>
      <c r="D398" s="24">
        <f>'Rådata-K'!O397</f>
        <v>2.1017481830681595</v>
      </c>
      <c r="E398" s="24">
        <f>'Rådata-K'!P397</f>
        <v>2.0291443037365031</v>
      </c>
      <c r="F398" s="24">
        <f>'Rådata-K'!Q397</f>
        <v>2.4779568257829121E-2</v>
      </c>
      <c r="G398" s="24">
        <f>'Rådata-K'!R397</f>
        <v>0.11274291648123423</v>
      </c>
      <c r="H398" s="24">
        <f>'Rådata-K'!S397</f>
        <v>0.15962023438658954</v>
      </c>
      <c r="I398" s="24">
        <f>'Rådata-K'!T397</f>
        <v>7.9966329966330019E-2</v>
      </c>
      <c r="J398" s="24">
        <f>'Rådata-K'!U397</f>
        <v>0.91170483460559792</v>
      </c>
      <c r="K398" s="24">
        <f>'Rådata-K'!L397</f>
        <v>393300</v>
      </c>
      <c r="L398" s="24">
        <f>Tabell2[[#This Row],[NIBR11]]</f>
        <v>9</v>
      </c>
      <c r="M398" s="24">
        <f>IF(Tabell2[[#This Row],[ReisetidOslo]]&lt;=C$434,C$434,IF(Tabell2[[#This Row],[ReisetidOslo]]&gt;=C$435,C$435,Tabell2[[#This Row],[ReisetidOslo]]))</f>
        <v>221.5833333333</v>
      </c>
      <c r="N398" s="24">
        <f>IF(Tabell2[[#This Row],[Beftettland]]&lt;=D$434,D$434,IF(Tabell2[[#This Row],[Beftettland]]&gt;=D$435,D$435,Tabell2[[#This Row],[Beftettland]]))</f>
        <v>2.1017481830681595</v>
      </c>
      <c r="O398" s="24">
        <f>IF(Tabell2[[#This Row],[Beftettotal]]&lt;=E$434,E$434,IF(Tabell2[[#This Row],[Beftettotal]]&gt;=E$435,E$435,Tabell2[[#This Row],[Beftettotal]]))</f>
        <v>2.0291443037365031</v>
      </c>
      <c r="P398" s="24">
        <f>IF(Tabell2[[#This Row],[Befvekst10]]&lt;=F$434,F$434,IF(Tabell2[[#This Row],[Befvekst10]]&gt;=F$435,F$435,Tabell2[[#This Row],[Befvekst10]]))</f>
        <v>2.4779568257829121E-2</v>
      </c>
      <c r="Q398" s="24">
        <f>IF(Tabell2[[#This Row],[Kvinneandel]]&lt;=G$434,G$434,IF(Tabell2[[#This Row],[Kvinneandel]]&gt;=G$435,G$435,Tabell2[[#This Row],[Kvinneandel]]))</f>
        <v>0.11274291648123423</v>
      </c>
      <c r="R398" s="24">
        <f>IF(Tabell2[[#This Row],[Eldreandel]]&lt;=H$434,H$434,IF(Tabell2[[#This Row],[Eldreandel]]&gt;=H$435,H$435,Tabell2[[#This Row],[Eldreandel]]))</f>
        <v>0.15962023438658954</v>
      </c>
      <c r="S398" s="24">
        <f>IF(Tabell2[[#This Row],[Sysselsettingsvekst10]]&lt;=I$434,I$434,IF(Tabell2[[#This Row],[Sysselsettingsvekst10]]&gt;=I$435,I$435,Tabell2[[#This Row],[Sysselsettingsvekst10]]))</f>
        <v>7.9966329966330019E-2</v>
      </c>
      <c r="T398" s="24">
        <f>IF(Tabell2[[#This Row],[Yrkesaktivandel]]&lt;=J$434,J$434,IF(Tabell2[[#This Row],[Yrkesaktivandel]]&gt;=J$435,J$435,Tabell2[[#This Row],[Yrkesaktivandel]]))</f>
        <v>0.91170483460559792</v>
      </c>
      <c r="U398" s="24">
        <f>IF(Tabell2[[#This Row],[Inntekt]]&lt;=K$434,K$434,IF(Tabell2[[#This Row],[Inntekt]]&gt;=K$435,K$435,Tabell2[[#This Row],[Inntekt]]))</f>
        <v>393300</v>
      </c>
      <c r="V398" s="7">
        <f>IF(Tabell2[[#This Row],[NIBR11-T]]&lt;=L$437,100,IF(Tabell2[[#This Row],[NIBR11-T]]&gt;=L$436,0,100*(L$436-Tabell2[[#This Row],[NIBR11-T]])/L$439))</f>
        <v>20</v>
      </c>
      <c r="W398" s="7">
        <f>(M$436-Tabell2[[#This Row],[ReisetidOslo-T]])*100/M$439</f>
        <v>25.831078610625511</v>
      </c>
      <c r="X398" s="7">
        <f>100-(N$436-Tabell2[[#This Row],[Beftettland-T]])*100/N$439</f>
        <v>0.51720515353107999</v>
      </c>
      <c r="Y398" s="7">
        <f>100-(O$436-Tabell2[[#This Row],[Beftettotal-T]])*100/O$439</f>
        <v>0.54428884121146837</v>
      </c>
      <c r="Z398" s="7">
        <f>100-(P$436-Tabell2[[#This Row],[Befvekst10-T]])*100/P$439</f>
        <v>38.793283148810112</v>
      </c>
      <c r="AA398" s="7">
        <f>100-(Q$436-Tabell2[[#This Row],[Kvinneandel-T]])*100/Q$439</f>
        <v>61.003059683520171</v>
      </c>
      <c r="AB398" s="7">
        <f>(R$436-Tabell2[[#This Row],[Eldreandel-T]])*100/R$439</f>
        <v>65.520186136067693</v>
      </c>
      <c r="AC398" s="7">
        <f>100-(S$436-Tabell2[[#This Row],[Sysselsettingsvekst10-T]])*100/S$439</f>
        <v>56.307523467557118</v>
      </c>
      <c r="AD398" s="7">
        <f>100-(T$436-Tabell2[[#This Row],[Yrkesaktivandel-T]])*100/T$439</f>
        <v>79.571650001444809</v>
      </c>
      <c r="AE398" s="7">
        <f>100-(U$436-Tabell2[[#This Row],[Inntekt-T]])*100/U$439</f>
        <v>55.174359553097844</v>
      </c>
      <c r="AF398" s="7">
        <v>4</v>
      </c>
      <c r="AG398" s="7">
        <v>2.5831078610625511</v>
      </c>
      <c r="AH398" s="7">
        <v>5.4428884121146839E-2</v>
      </c>
      <c r="AI398" s="7">
        <v>7.7586566297620223</v>
      </c>
      <c r="AJ398" s="7">
        <v>3.0501529841760089</v>
      </c>
      <c r="AK398" s="7">
        <v>3.2760093068033846</v>
      </c>
      <c r="AL398" s="7">
        <v>5.6307523467557123</v>
      </c>
      <c r="AM398" s="7">
        <v>7.9571650001444816</v>
      </c>
      <c r="AN398" s="7">
        <v>5.5174359553097849</v>
      </c>
      <c r="AO39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39.827708968135092</v>
      </c>
    </row>
    <row r="399" spans="1:41" x14ac:dyDescent="0.3">
      <c r="A399" s="2" t="s">
        <v>396</v>
      </c>
      <c r="B399">
        <f>'Rådata-K'!N398</f>
        <v>8</v>
      </c>
      <c r="C399" s="7">
        <f>'Rådata-K'!M398</f>
        <v>231.45</v>
      </c>
      <c r="D399" s="24">
        <f>'Rådata-K'!O398</f>
        <v>9.9507076763425673</v>
      </c>
      <c r="E399" s="24">
        <f>'Rådata-K'!P398</f>
        <v>9.5578259545366446</v>
      </c>
      <c r="F399" s="24">
        <f>'Rådata-K'!Q398</f>
        <v>3.9133052378085509E-2</v>
      </c>
      <c r="G399" s="24">
        <f>'Rådata-K'!R398</f>
        <v>0.10921205098493626</v>
      </c>
      <c r="H399" s="24">
        <f>'Rådata-K'!S398</f>
        <v>0.16367323290845887</v>
      </c>
      <c r="I399" s="24">
        <f>'Rådata-K'!T398</f>
        <v>-3.3882783882783873E-2</v>
      </c>
      <c r="J399" s="24">
        <f>'Rådata-K'!U398</f>
        <v>0.86632390745501286</v>
      </c>
      <c r="K399" s="24">
        <f>'Rådata-K'!L398</f>
        <v>376700</v>
      </c>
      <c r="L399" s="24">
        <f>Tabell2[[#This Row],[NIBR11]]</f>
        <v>8</v>
      </c>
      <c r="M399" s="24">
        <f>IF(Tabell2[[#This Row],[ReisetidOslo]]&lt;=C$434,C$434,IF(Tabell2[[#This Row],[ReisetidOslo]]&gt;=C$435,C$435,Tabell2[[#This Row],[ReisetidOslo]]))</f>
        <v>231.45</v>
      </c>
      <c r="N399" s="24">
        <f>IF(Tabell2[[#This Row],[Beftettland]]&lt;=D$434,D$434,IF(Tabell2[[#This Row],[Beftettland]]&gt;=D$435,D$435,Tabell2[[#This Row],[Beftettland]]))</f>
        <v>9.9507076763425673</v>
      </c>
      <c r="O399" s="24">
        <f>IF(Tabell2[[#This Row],[Beftettotal]]&lt;=E$434,E$434,IF(Tabell2[[#This Row],[Beftettotal]]&gt;=E$435,E$435,Tabell2[[#This Row],[Beftettotal]]))</f>
        <v>9.5578259545366446</v>
      </c>
      <c r="P399" s="24">
        <f>IF(Tabell2[[#This Row],[Befvekst10]]&lt;=F$434,F$434,IF(Tabell2[[#This Row],[Befvekst10]]&gt;=F$435,F$435,Tabell2[[#This Row],[Befvekst10]]))</f>
        <v>3.9133052378085509E-2</v>
      </c>
      <c r="Q399" s="24">
        <f>IF(Tabell2[[#This Row],[Kvinneandel]]&lt;=G$434,G$434,IF(Tabell2[[#This Row],[Kvinneandel]]&gt;=G$435,G$435,Tabell2[[#This Row],[Kvinneandel]]))</f>
        <v>0.10921205098493626</v>
      </c>
      <c r="R399" s="24">
        <f>IF(Tabell2[[#This Row],[Eldreandel]]&lt;=H$434,H$434,IF(Tabell2[[#This Row],[Eldreandel]]&gt;=H$435,H$435,Tabell2[[#This Row],[Eldreandel]]))</f>
        <v>0.16367323290845887</v>
      </c>
      <c r="S399" s="24">
        <f>IF(Tabell2[[#This Row],[Sysselsettingsvekst10]]&lt;=I$434,I$434,IF(Tabell2[[#This Row],[Sysselsettingsvekst10]]&gt;=I$435,I$435,Tabell2[[#This Row],[Sysselsettingsvekst10]]))</f>
        <v>-3.3882783882783873E-2</v>
      </c>
      <c r="T399" s="24">
        <f>IF(Tabell2[[#This Row],[Yrkesaktivandel]]&lt;=J$434,J$434,IF(Tabell2[[#This Row],[Yrkesaktivandel]]&gt;=J$435,J$435,Tabell2[[#This Row],[Yrkesaktivandel]]))</f>
        <v>0.86632390745501286</v>
      </c>
      <c r="U399" s="24">
        <f>IF(Tabell2[[#This Row],[Inntekt]]&lt;=K$434,K$434,IF(Tabell2[[#This Row],[Inntekt]]&gt;=K$435,K$435,Tabell2[[#This Row],[Inntekt]]))</f>
        <v>376700</v>
      </c>
      <c r="V399" s="7">
        <f>IF(Tabell2[[#This Row],[NIBR11-T]]&lt;=L$437,100,IF(Tabell2[[#This Row],[NIBR11-T]]&gt;=L$436,0,100*(L$436-Tabell2[[#This Row],[NIBR11-T]])/L$439))</f>
        <v>30</v>
      </c>
      <c r="W399" s="7">
        <f>(M$436-Tabell2[[#This Row],[ReisetidOslo-T]])*100/M$439</f>
        <v>21.502010968929437</v>
      </c>
      <c r="X399" s="7">
        <f>100-(N$436-Tabell2[[#This Row],[Beftettland-T]])*100/N$439</f>
        <v>6.3231098765499212</v>
      </c>
      <c r="Y399" s="7">
        <f>100-(O$436-Tabell2[[#This Row],[Beftettotal-T]])*100/O$439</f>
        <v>6.3070321238303961</v>
      </c>
      <c r="Z399" s="7">
        <f>100-(P$436-Tabell2[[#This Row],[Befvekst10-T]])*100/P$439</f>
        <v>44.603014477310801</v>
      </c>
      <c r="AA399" s="7">
        <f>100-(Q$436-Tabell2[[#This Row],[Kvinneandel-T]])*100/Q$439</f>
        <v>51.727287931390052</v>
      </c>
      <c r="AB399" s="7">
        <f>(R$436-Tabell2[[#This Row],[Eldreandel-T]])*100/R$439</f>
        <v>61.145967889754047</v>
      </c>
      <c r="AC399" s="7">
        <f>100-(S$436-Tabell2[[#This Row],[Sysselsettingsvekst10-T]])*100/S$439</f>
        <v>19.152717063365671</v>
      </c>
      <c r="AD399" s="7">
        <f>100-(T$436-Tabell2[[#This Row],[Yrkesaktivandel-T]])*100/T$439</f>
        <v>47.564762425836854</v>
      </c>
      <c r="AE399" s="7">
        <f>100-(U$436-Tabell2[[#This Row],[Inntekt-T]])*100/U$439</f>
        <v>36.440582327051125</v>
      </c>
      <c r="AF399" s="7">
        <v>6</v>
      </c>
      <c r="AG399" s="7">
        <v>2.1502010968929439</v>
      </c>
      <c r="AH399" s="7">
        <v>0.63070321238303961</v>
      </c>
      <c r="AI399" s="7">
        <v>8.9206028954621601</v>
      </c>
      <c r="AJ399" s="7">
        <v>2.5863643965695027</v>
      </c>
      <c r="AK399" s="7">
        <v>3.0572983944877024</v>
      </c>
      <c r="AL399" s="7">
        <v>1.9152717063365672</v>
      </c>
      <c r="AM399" s="7">
        <v>4.7564762425836857</v>
      </c>
      <c r="AN399" s="7">
        <v>3.6440582327051128</v>
      </c>
      <c r="AO39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33.660976177420714</v>
      </c>
    </row>
    <row r="400" spans="1:41" x14ac:dyDescent="0.3">
      <c r="A400" s="2" t="s">
        <v>397</v>
      </c>
      <c r="B400">
        <f>'Rådata-K'!N399</f>
        <v>8</v>
      </c>
      <c r="C400" s="7">
        <f>'Rådata-K'!M399</f>
        <v>255.11666666669998</v>
      </c>
      <c r="D400" s="24">
        <f>'Rådata-K'!O399</f>
        <v>4.1811091854419411</v>
      </c>
      <c r="E400" s="24">
        <f>'Rådata-K'!P399</f>
        <v>4.0133083801206073</v>
      </c>
      <c r="F400" s="24">
        <f>'Rådata-K'!Q399</f>
        <v>-0.10579150579150576</v>
      </c>
      <c r="G400" s="24">
        <f>'Rådata-K'!R399</f>
        <v>8.2901554404145081E-2</v>
      </c>
      <c r="H400" s="24">
        <f>'Rådata-K'!S399</f>
        <v>0.22107081174438686</v>
      </c>
      <c r="I400" s="24">
        <f>'Rådata-K'!T399</f>
        <v>-0.13603818615751795</v>
      </c>
      <c r="J400" s="24">
        <f>'Rådata-K'!U399</f>
        <v>0.8133971291866029</v>
      </c>
      <c r="K400" s="24">
        <f>'Rådata-K'!L399</f>
        <v>349600</v>
      </c>
      <c r="L400" s="24">
        <f>Tabell2[[#This Row],[NIBR11]]</f>
        <v>8</v>
      </c>
      <c r="M400" s="24">
        <f>IF(Tabell2[[#This Row],[ReisetidOslo]]&lt;=C$434,C$434,IF(Tabell2[[#This Row],[ReisetidOslo]]&gt;=C$435,C$435,Tabell2[[#This Row],[ReisetidOslo]]))</f>
        <v>255.11666666669998</v>
      </c>
      <c r="N400" s="24">
        <f>IF(Tabell2[[#This Row],[Beftettland]]&lt;=D$434,D$434,IF(Tabell2[[#This Row],[Beftettland]]&gt;=D$435,D$435,Tabell2[[#This Row],[Beftettland]]))</f>
        <v>4.1811091854419411</v>
      </c>
      <c r="O400" s="24">
        <f>IF(Tabell2[[#This Row],[Beftettotal]]&lt;=E$434,E$434,IF(Tabell2[[#This Row],[Beftettotal]]&gt;=E$435,E$435,Tabell2[[#This Row],[Beftettotal]]))</f>
        <v>4.0133083801206073</v>
      </c>
      <c r="P400" s="24">
        <f>IF(Tabell2[[#This Row],[Befvekst10]]&lt;=F$434,F$434,IF(Tabell2[[#This Row],[Befvekst10]]&gt;=F$435,F$435,Tabell2[[#This Row],[Befvekst10]]))</f>
        <v>-7.1062862685144085E-2</v>
      </c>
      <c r="Q400" s="24">
        <f>IF(Tabell2[[#This Row],[Kvinneandel]]&lt;=G$434,G$434,IF(Tabell2[[#This Row],[Kvinneandel]]&gt;=G$435,G$435,Tabell2[[#This Row],[Kvinneandel]]))</f>
        <v>8.9521819157910881E-2</v>
      </c>
      <c r="R400" s="24">
        <f>IF(Tabell2[[#This Row],[Eldreandel]]&lt;=H$434,H$434,IF(Tabell2[[#This Row],[Eldreandel]]&gt;=H$435,H$435,Tabell2[[#This Row],[Eldreandel]]))</f>
        <v>0.22032896051974013</v>
      </c>
      <c r="S400" s="24">
        <f>IF(Tabell2[[#This Row],[Sysselsettingsvekst10]]&lt;=I$434,I$434,IF(Tabell2[[#This Row],[Sysselsettingsvekst10]]&gt;=I$435,I$435,Tabell2[[#This Row],[Sysselsettingsvekst10]]))</f>
        <v>-9.2570207570207563E-2</v>
      </c>
      <c r="T400" s="24">
        <f>IF(Tabell2[[#This Row],[Yrkesaktivandel]]&lt;=J$434,J$434,IF(Tabell2[[#This Row],[Yrkesaktivandel]]&gt;=J$435,J$435,Tabell2[[#This Row],[Yrkesaktivandel]]))</f>
        <v>0.8133971291866029</v>
      </c>
      <c r="U400" s="24">
        <f>IF(Tabell2[[#This Row],[Inntekt]]&lt;=K$434,K$434,IF(Tabell2[[#This Row],[Inntekt]]&gt;=K$435,K$435,Tabell2[[#This Row],[Inntekt]]))</f>
        <v>349600</v>
      </c>
      <c r="V400" s="7">
        <f>IF(Tabell2[[#This Row],[NIBR11-T]]&lt;=L$437,100,IF(Tabell2[[#This Row],[NIBR11-T]]&gt;=L$436,0,100*(L$436-Tabell2[[#This Row],[NIBR11-T]])/L$439))</f>
        <v>30</v>
      </c>
      <c r="W400" s="7">
        <f>(M$436-Tabell2[[#This Row],[ReisetidOslo-T]])*100/M$439</f>
        <v>11.118098720286989</v>
      </c>
      <c r="X400" s="7">
        <f>100-(N$436-Tabell2[[#This Row],[Beftettland-T]])*100/N$439</f>
        <v>2.0553162719395601</v>
      </c>
      <c r="Y400" s="7">
        <f>100-(O$436-Tabell2[[#This Row],[Beftettotal-T]])*100/O$439</f>
        <v>2.0630445454828816</v>
      </c>
      <c r="Z400" s="7">
        <f>100-(P$436-Tabell2[[#This Row],[Befvekst10-T]])*100/P$439</f>
        <v>0</v>
      </c>
      <c r="AA400" s="7">
        <f>100-(Q$436-Tabell2[[#This Row],[Kvinneandel-T]])*100/Q$439</f>
        <v>0</v>
      </c>
      <c r="AB400" s="7">
        <f>(R$436-Tabell2[[#This Row],[Eldreandel-T]])*100/R$439</f>
        <v>0</v>
      </c>
      <c r="AC400" s="7">
        <f>100-(S$436-Tabell2[[#This Row],[Sysselsettingsvekst10-T]])*100/S$439</f>
        <v>0</v>
      </c>
      <c r="AD400" s="7">
        <f>100-(T$436-Tabell2[[#This Row],[Yrkesaktivandel-T]])*100/T$439</f>
        <v>10.235832671824795</v>
      </c>
      <c r="AE400" s="7">
        <f>100-(U$436-Tabell2[[#This Row],[Inntekt-T]])*100/U$439</f>
        <v>5.8571267351314731</v>
      </c>
      <c r="AF400" s="7">
        <v>6</v>
      </c>
      <c r="AG400" s="7">
        <v>1.1118098720286989</v>
      </c>
      <c r="AH400" s="7">
        <v>0.20630445454828816</v>
      </c>
      <c r="AI400" s="7">
        <v>0</v>
      </c>
      <c r="AJ400" s="7">
        <v>0</v>
      </c>
      <c r="AK400" s="7">
        <v>0</v>
      </c>
      <c r="AL400" s="7">
        <v>0</v>
      </c>
      <c r="AM400" s="7">
        <v>1.0235832671824796</v>
      </c>
      <c r="AN400" s="7">
        <v>0.58571267351314737</v>
      </c>
      <c r="AO40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8.927410267272613</v>
      </c>
    </row>
    <row r="401" spans="1:41" x14ac:dyDescent="0.3">
      <c r="A401" s="2" t="s">
        <v>398</v>
      </c>
      <c r="B401">
        <f>'Rådata-K'!N400</f>
        <v>8</v>
      </c>
      <c r="C401" s="7">
        <f>'Rådata-K'!M400</f>
        <v>265.03333333329999</v>
      </c>
      <c r="D401" s="24">
        <f>'Rådata-K'!O400</f>
        <v>3.0905121477356943</v>
      </c>
      <c r="E401" s="24">
        <f>'Rådata-K'!P400</f>
        <v>2.9453872143852484</v>
      </c>
      <c r="F401" s="24">
        <f>'Rådata-K'!Q400</f>
        <v>-3.4418022528160175E-2</v>
      </c>
      <c r="G401" s="24">
        <f>'Rådata-K'!R400</f>
        <v>9.0732339598185358E-2</v>
      </c>
      <c r="H401" s="24">
        <f>'Rådata-K'!S400</f>
        <v>0.23720025923525601</v>
      </c>
      <c r="I401" s="24">
        <f>'Rådata-K'!T400</f>
        <v>-0.16885553470919323</v>
      </c>
      <c r="J401" s="24">
        <f>'Rådata-K'!U400</f>
        <v>0.85967130214917831</v>
      </c>
      <c r="K401" s="24">
        <f>'Rådata-K'!L400</f>
        <v>347700</v>
      </c>
      <c r="L401" s="24">
        <f>Tabell2[[#This Row],[NIBR11]]</f>
        <v>8</v>
      </c>
      <c r="M401" s="24">
        <f>IF(Tabell2[[#This Row],[ReisetidOslo]]&lt;=C$434,C$434,IF(Tabell2[[#This Row],[ReisetidOslo]]&gt;=C$435,C$435,Tabell2[[#This Row],[ReisetidOslo]]))</f>
        <v>265.03333333329999</v>
      </c>
      <c r="N401" s="24">
        <f>IF(Tabell2[[#This Row],[Beftettland]]&lt;=D$434,D$434,IF(Tabell2[[#This Row],[Beftettland]]&gt;=D$435,D$435,Tabell2[[#This Row],[Beftettland]]))</f>
        <v>3.0905121477356943</v>
      </c>
      <c r="O401" s="24">
        <f>IF(Tabell2[[#This Row],[Beftettotal]]&lt;=E$434,E$434,IF(Tabell2[[#This Row],[Beftettotal]]&gt;=E$435,E$435,Tabell2[[#This Row],[Beftettotal]]))</f>
        <v>2.9453872143852484</v>
      </c>
      <c r="P401" s="24">
        <f>IF(Tabell2[[#This Row],[Befvekst10]]&lt;=F$434,F$434,IF(Tabell2[[#This Row],[Befvekst10]]&gt;=F$435,F$435,Tabell2[[#This Row],[Befvekst10]]))</f>
        <v>-3.4418022528160175E-2</v>
      </c>
      <c r="Q401" s="24">
        <f>IF(Tabell2[[#This Row],[Kvinneandel]]&lt;=G$434,G$434,IF(Tabell2[[#This Row],[Kvinneandel]]&gt;=G$435,G$435,Tabell2[[#This Row],[Kvinneandel]]))</f>
        <v>9.0732339598185358E-2</v>
      </c>
      <c r="R401" s="24">
        <f>IF(Tabell2[[#This Row],[Eldreandel]]&lt;=H$434,H$434,IF(Tabell2[[#This Row],[Eldreandel]]&gt;=H$435,H$435,Tabell2[[#This Row],[Eldreandel]]))</f>
        <v>0.22032896051974013</v>
      </c>
      <c r="S401" s="24">
        <f>IF(Tabell2[[#This Row],[Sysselsettingsvekst10]]&lt;=I$434,I$434,IF(Tabell2[[#This Row],[Sysselsettingsvekst10]]&gt;=I$435,I$435,Tabell2[[#This Row],[Sysselsettingsvekst10]]))</f>
        <v>-9.2570207570207563E-2</v>
      </c>
      <c r="T401" s="24">
        <f>IF(Tabell2[[#This Row],[Yrkesaktivandel]]&lt;=J$434,J$434,IF(Tabell2[[#This Row],[Yrkesaktivandel]]&gt;=J$435,J$435,Tabell2[[#This Row],[Yrkesaktivandel]]))</f>
        <v>0.85967130214917831</v>
      </c>
      <c r="U401" s="24">
        <f>IF(Tabell2[[#This Row],[Inntekt]]&lt;=K$434,K$434,IF(Tabell2[[#This Row],[Inntekt]]&gt;=K$435,K$435,Tabell2[[#This Row],[Inntekt]]))</f>
        <v>347700</v>
      </c>
      <c r="V401" s="7">
        <f>IF(Tabell2[[#This Row],[NIBR11-T]]&lt;=L$437,100,IF(Tabell2[[#This Row],[NIBR11-T]]&gt;=L$436,0,100*(L$436-Tabell2[[#This Row],[NIBR11-T]])/L$439))</f>
        <v>30</v>
      </c>
      <c r="W401" s="7">
        <f>(M$436-Tabell2[[#This Row],[ReisetidOslo-T]])*100/M$439</f>
        <v>6.7670932358559881</v>
      </c>
      <c r="X401" s="7">
        <f>100-(N$436-Tabell2[[#This Row],[Beftettland-T]])*100/N$439</f>
        <v>1.2485975600447148</v>
      </c>
      <c r="Y401" s="7">
        <f>100-(O$436-Tabell2[[#This Row],[Beftettotal-T]])*100/O$439</f>
        <v>1.2456165003544299</v>
      </c>
      <c r="Z401" s="7">
        <f>100-(P$436-Tabell2[[#This Row],[Befvekst10-T]])*100/P$439</f>
        <v>14.832404042407987</v>
      </c>
      <c r="AA401" s="7">
        <f>100-(Q$436-Tabell2[[#This Row],[Kvinneandel-T]])*100/Q$439</f>
        <v>3.1801016824478125</v>
      </c>
      <c r="AB401" s="7">
        <f>(R$436-Tabell2[[#This Row],[Eldreandel-T]])*100/R$439</f>
        <v>0</v>
      </c>
      <c r="AC401" s="7">
        <f>100-(S$436-Tabell2[[#This Row],[Sysselsettingsvekst10-T]])*100/S$439</f>
        <v>0</v>
      </c>
      <c r="AD401" s="7">
        <f>100-(T$436-Tabell2[[#This Row],[Yrkesaktivandel-T]])*100/T$439</f>
        <v>42.872721000544054</v>
      </c>
      <c r="AE401" s="7">
        <f>100-(U$436-Tabell2[[#This Row],[Inntekt-T]])*100/U$439</f>
        <v>3.7128992213068557</v>
      </c>
      <c r="AF401" s="7">
        <v>6</v>
      </c>
      <c r="AG401" s="7">
        <v>0.67670932358559888</v>
      </c>
      <c r="AH401" s="7">
        <v>0.12456165003544301</v>
      </c>
      <c r="AI401" s="7">
        <v>2.9664808084815975</v>
      </c>
      <c r="AJ401" s="7">
        <v>0.15900508412239064</v>
      </c>
      <c r="AK401" s="7">
        <v>0</v>
      </c>
      <c r="AL401" s="7">
        <v>0</v>
      </c>
      <c r="AM401" s="7">
        <v>4.2872721000544054</v>
      </c>
      <c r="AN401" s="7">
        <v>0.37128992213068557</v>
      </c>
      <c r="AO40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14.585318888410121</v>
      </c>
    </row>
    <row r="402" spans="1:41" x14ac:dyDescent="0.3">
      <c r="A402" s="2" t="s">
        <v>399</v>
      </c>
      <c r="B402">
        <f>'Rådata-K'!N401</f>
        <v>11</v>
      </c>
      <c r="C402" s="7">
        <f>'Rådata-K'!M401</f>
        <v>299.43333333329997</v>
      </c>
      <c r="D402" s="24">
        <f>'Rådata-K'!O401</f>
        <v>3.8801529961750956</v>
      </c>
      <c r="E402" s="24">
        <f>'Rådata-K'!P401</f>
        <v>3.7507189220277706</v>
      </c>
      <c r="F402" s="24">
        <f>'Rådata-K'!Q401</f>
        <v>-9.1542288557213913E-2</v>
      </c>
      <c r="G402" s="24">
        <f>'Rådata-K'!R401</f>
        <v>8.6527929901423883E-2</v>
      </c>
      <c r="H402" s="24">
        <f>'Rådata-K'!S401</f>
        <v>0.23658269441401972</v>
      </c>
      <c r="I402" s="24">
        <f>'Rådata-K'!T401</f>
        <v>-9.8280098280098316E-2</v>
      </c>
      <c r="J402" s="24">
        <f>'Rådata-K'!U401</f>
        <v>0.79876796714579057</v>
      </c>
      <c r="K402" s="24">
        <f>'Rådata-K'!L401</f>
        <v>351500</v>
      </c>
      <c r="L402" s="24">
        <f>Tabell2[[#This Row],[NIBR11]]</f>
        <v>11</v>
      </c>
      <c r="M402" s="24">
        <f>IF(Tabell2[[#This Row],[ReisetidOslo]]&lt;=C$434,C$434,IF(Tabell2[[#This Row],[ReisetidOslo]]&gt;=C$435,C$435,Tabell2[[#This Row],[ReisetidOslo]]))</f>
        <v>280.45666666669001</v>
      </c>
      <c r="N402" s="24">
        <f>IF(Tabell2[[#This Row],[Beftettland]]&lt;=D$434,D$434,IF(Tabell2[[#This Row],[Beftettland]]&gt;=D$435,D$435,Tabell2[[#This Row],[Beftettland]]))</f>
        <v>3.8801529961750956</v>
      </c>
      <c r="O402" s="24">
        <f>IF(Tabell2[[#This Row],[Beftettotal]]&lt;=E$434,E$434,IF(Tabell2[[#This Row],[Beftettotal]]&gt;=E$435,E$435,Tabell2[[#This Row],[Beftettotal]]))</f>
        <v>3.7507189220277706</v>
      </c>
      <c r="P402" s="24">
        <f>IF(Tabell2[[#This Row],[Befvekst10]]&lt;=F$434,F$434,IF(Tabell2[[#This Row],[Befvekst10]]&gt;=F$435,F$435,Tabell2[[#This Row],[Befvekst10]]))</f>
        <v>-7.1062862685144085E-2</v>
      </c>
      <c r="Q402" s="24">
        <f>IF(Tabell2[[#This Row],[Kvinneandel]]&lt;=G$434,G$434,IF(Tabell2[[#This Row],[Kvinneandel]]&gt;=G$435,G$435,Tabell2[[#This Row],[Kvinneandel]]))</f>
        <v>8.9521819157910881E-2</v>
      </c>
      <c r="R402" s="24">
        <f>IF(Tabell2[[#This Row],[Eldreandel]]&lt;=H$434,H$434,IF(Tabell2[[#This Row],[Eldreandel]]&gt;=H$435,H$435,Tabell2[[#This Row],[Eldreandel]]))</f>
        <v>0.22032896051974013</v>
      </c>
      <c r="S402" s="24">
        <f>IF(Tabell2[[#This Row],[Sysselsettingsvekst10]]&lt;=I$434,I$434,IF(Tabell2[[#This Row],[Sysselsettingsvekst10]]&gt;=I$435,I$435,Tabell2[[#This Row],[Sysselsettingsvekst10]]))</f>
        <v>-9.2570207570207563E-2</v>
      </c>
      <c r="T402" s="24">
        <f>IF(Tabell2[[#This Row],[Yrkesaktivandel]]&lt;=J$434,J$434,IF(Tabell2[[#This Row],[Yrkesaktivandel]]&gt;=J$435,J$435,Tabell2[[#This Row],[Yrkesaktivandel]]))</f>
        <v>0.79888426611272945</v>
      </c>
      <c r="U402" s="24">
        <f>IF(Tabell2[[#This Row],[Inntekt]]&lt;=K$434,K$434,IF(Tabell2[[#This Row],[Inntekt]]&gt;=K$435,K$435,Tabell2[[#This Row],[Inntekt]]))</f>
        <v>351500</v>
      </c>
      <c r="V402" s="7">
        <f>IF(Tabell2[[#This Row],[NIBR11-T]]&lt;=L$437,100,IF(Tabell2[[#This Row],[NIBR11-T]]&gt;=L$436,0,100*(L$436-Tabell2[[#This Row],[NIBR11-T]])/L$439))</f>
        <v>0</v>
      </c>
      <c r="W402" s="7">
        <f>(M$436-Tabell2[[#This Row],[ReisetidOslo-T]])*100/M$439</f>
        <v>0</v>
      </c>
      <c r="X402" s="7">
        <f>100-(N$436-Tabell2[[#This Row],[Beftettland-T]])*100/N$439</f>
        <v>1.8326978519842214</v>
      </c>
      <c r="Y402" s="7">
        <f>100-(O$436-Tabell2[[#This Row],[Beftettotal-T]])*100/O$439</f>
        <v>1.8620484473745051</v>
      </c>
      <c r="Z402" s="7">
        <f>100-(P$436-Tabell2[[#This Row],[Befvekst10-T]])*100/P$439</f>
        <v>0</v>
      </c>
      <c r="AA402" s="7">
        <f>100-(Q$436-Tabell2[[#This Row],[Kvinneandel-T]])*100/Q$439</f>
        <v>0</v>
      </c>
      <c r="AB402" s="7">
        <f>(R$436-Tabell2[[#This Row],[Eldreandel-T]])*100/R$439</f>
        <v>0</v>
      </c>
      <c r="AC402" s="7">
        <f>100-(S$436-Tabell2[[#This Row],[Sysselsettingsvekst10-T]])*100/S$439</f>
        <v>0</v>
      </c>
      <c r="AD402" s="7">
        <f>100-(T$436-Tabell2[[#This Row],[Yrkesaktivandel-T]])*100/T$439</f>
        <v>0</v>
      </c>
      <c r="AE402" s="7">
        <f>100-(U$436-Tabell2[[#This Row],[Inntekt-T]])*100/U$439</f>
        <v>8.0013542489561047</v>
      </c>
      <c r="AF402" s="7">
        <v>0</v>
      </c>
      <c r="AG402" s="7">
        <v>0</v>
      </c>
      <c r="AH402" s="7">
        <v>0.18620484473745053</v>
      </c>
      <c r="AI402" s="7">
        <v>0</v>
      </c>
      <c r="AJ402" s="7">
        <v>0</v>
      </c>
      <c r="AK402" s="7">
        <v>0</v>
      </c>
      <c r="AL402" s="7">
        <v>0</v>
      </c>
      <c r="AM402" s="7">
        <v>0</v>
      </c>
      <c r="AN402" s="7">
        <v>0.80013542489561051</v>
      </c>
      <c r="AO40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0.98634026963306098</v>
      </c>
    </row>
    <row r="403" spans="1:41" x14ac:dyDescent="0.3">
      <c r="A403" s="2" t="s">
        <v>400</v>
      </c>
      <c r="B403">
        <f>'Rådata-K'!N402</f>
        <v>11</v>
      </c>
      <c r="C403" s="7">
        <f>'Rådata-K'!M402</f>
        <v>296.96666666670001</v>
      </c>
      <c r="D403" s="24">
        <f>'Rådata-K'!O402</f>
        <v>3.3111384526308174</v>
      </c>
      <c r="E403" s="24">
        <f>'Rådata-K'!P402</f>
        <v>3.1134097791690771</v>
      </c>
      <c r="F403" s="24">
        <f>'Rådata-K'!Q402</f>
        <v>-8.1325301204819289E-2</v>
      </c>
      <c r="G403" s="24">
        <f>'Rådata-K'!R402</f>
        <v>0.11693989071038251</v>
      </c>
      <c r="H403" s="24">
        <f>'Rådata-K'!S402</f>
        <v>0.20218579234972678</v>
      </c>
      <c r="I403" s="24">
        <f>'Rådata-K'!T402</f>
        <v>0.13554987212276215</v>
      </c>
      <c r="J403" s="24">
        <f>'Rådata-K'!U402</f>
        <v>0.81515711645101663</v>
      </c>
      <c r="K403" s="24">
        <f>'Rådata-K'!L402</f>
        <v>354800</v>
      </c>
      <c r="L403" s="24">
        <f>Tabell2[[#This Row],[NIBR11]]</f>
        <v>11</v>
      </c>
      <c r="M403" s="24">
        <f>IF(Tabell2[[#This Row],[ReisetidOslo]]&lt;=C$434,C$434,IF(Tabell2[[#This Row],[ReisetidOslo]]&gt;=C$435,C$435,Tabell2[[#This Row],[ReisetidOslo]]))</f>
        <v>280.45666666669001</v>
      </c>
      <c r="N403" s="24">
        <f>IF(Tabell2[[#This Row],[Beftettland]]&lt;=D$434,D$434,IF(Tabell2[[#This Row],[Beftettland]]&gt;=D$435,D$435,Tabell2[[#This Row],[Beftettland]]))</f>
        <v>3.3111384526308174</v>
      </c>
      <c r="O403" s="24">
        <f>IF(Tabell2[[#This Row],[Beftettotal]]&lt;=E$434,E$434,IF(Tabell2[[#This Row],[Beftettotal]]&gt;=E$435,E$435,Tabell2[[#This Row],[Beftettotal]]))</f>
        <v>3.1134097791690771</v>
      </c>
      <c r="P403" s="24">
        <f>IF(Tabell2[[#This Row],[Befvekst10]]&lt;=F$434,F$434,IF(Tabell2[[#This Row],[Befvekst10]]&gt;=F$435,F$435,Tabell2[[#This Row],[Befvekst10]]))</f>
        <v>-7.1062862685144085E-2</v>
      </c>
      <c r="Q403" s="24">
        <f>IF(Tabell2[[#This Row],[Kvinneandel]]&lt;=G$434,G$434,IF(Tabell2[[#This Row],[Kvinneandel]]&gt;=G$435,G$435,Tabell2[[#This Row],[Kvinneandel]]))</f>
        <v>0.11693989071038251</v>
      </c>
      <c r="R403" s="24">
        <f>IF(Tabell2[[#This Row],[Eldreandel]]&lt;=H$434,H$434,IF(Tabell2[[#This Row],[Eldreandel]]&gt;=H$435,H$435,Tabell2[[#This Row],[Eldreandel]]))</f>
        <v>0.20218579234972678</v>
      </c>
      <c r="S403" s="24">
        <f>IF(Tabell2[[#This Row],[Sysselsettingsvekst10]]&lt;=I$434,I$434,IF(Tabell2[[#This Row],[Sysselsettingsvekst10]]&gt;=I$435,I$435,Tabell2[[#This Row],[Sysselsettingsvekst10]]))</f>
        <v>0.13554987212276215</v>
      </c>
      <c r="T403" s="24">
        <f>IF(Tabell2[[#This Row],[Yrkesaktivandel]]&lt;=J$434,J$434,IF(Tabell2[[#This Row],[Yrkesaktivandel]]&gt;=J$435,J$435,Tabell2[[#This Row],[Yrkesaktivandel]]))</f>
        <v>0.81515711645101663</v>
      </c>
      <c r="U403" s="24">
        <f>IF(Tabell2[[#This Row],[Inntekt]]&lt;=K$434,K$434,IF(Tabell2[[#This Row],[Inntekt]]&gt;=K$435,K$435,Tabell2[[#This Row],[Inntekt]]))</f>
        <v>354800</v>
      </c>
      <c r="V403" s="7">
        <f>IF(Tabell2[[#This Row],[NIBR11-T]]&lt;=L$437,100,IF(Tabell2[[#This Row],[NIBR11-T]]&gt;=L$436,0,100*(L$436-Tabell2[[#This Row],[NIBR11-T]])/L$439))</f>
        <v>0</v>
      </c>
      <c r="W403" s="7">
        <f>(M$436-Tabell2[[#This Row],[ReisetidOslo-T]])*100/M$439</f>
        <v>0</v>
      </c>
      <c r="X403" s="7">
        <f>100-(N$436-Tabell2[[#This Row],[Beftettland-T]])*100/N$439</f>
        <v>1.4117956637819589</v>
      </c>
      <c r="Y403" s="7">
        <f>100-(O$436-Tabell2[[#This Row],[Beftettotal-T]])*100/O$439</f>
        <v>1.3742274513080446</v>
      </c>
      <c r="Z403" s="7">
        <f>100-(P$436-Tabell2[[#This Row],[Befvekst10-T]])*100/P$439</f>
        <v>0</v>
      </c>
      <c r="AA403" s="7">
        <f>100-(Q$436-Tabell2[[#This Row],[Kvinneandel-T]])*100/Q$439</f>
        <v>72.028734561243226</v>
      </c>
      <c r="AB403" s="7">
        <f>(R$436-Tabell2[[#This Row],[Eldreandel-T]])*100/R$439</f>
        <v>19.581101948837112</v>
      </c>
      <c r="AC403" s="7">
        <f>100-(S$436-Tabell2[[#This Row],[Sysselsettingsvekst10-T]])*100/S$439</f>
        <v>74.447284755629042</v>
      </c>
      <c r="AD403" s="7">
        <f>100-(T$436-Tabell2[[#This Row],[Yrkesaktivandel-T]])*100/T$439</f>
        <v>11.477140816977268</v>
      </c>
      <c r="AE403" s="7">
        <f>100-(U$436-Tabell2[[#This Row],[Inntekt-T]])*100/U$439</f>
        <v>11.725538878230452</v>
      </c>
      <c r="AF403" s="7">
        <v>0</v>
      </c>
      <c r="AG403" s="7">
        <v>0</v>
      </c>
      <c r="AH403" s="7">
        <v>0.13742274513080446</v>
      </c>
      <c r="AI403" s="7">
        <v>0</v>
      </c>
      <c r="AJ403" s="7">
        <v>3.6014367280621613</v>
      </c>
      <c r="AK403" s="7">
        <v>0.9790550974418557</v>
      </c>
      <c r="AL403" s="7">
        <v>7.4447284755629042</v>
      </c>
      <c r="AM403" s="7">
        <v>1.1477140816977269</v>
      </c>
      <c r="AN403" s="7">
        <v>1.1725538878230453</v>
      </c>
      <c r="AO40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14.482911015718498</v>
      </c>
    </row>
    <row r="404" spans="1:41" x14ac:dyDescent="0.3">
      <c r="A404" s="2" t="s">
        <v>401</v>
      </c>
      <c r="B404">
        <f>'Rådata-K'!N403</f>
        <v>8</v>
      </c>
      <c r="C404" s="7">
        <f>'Rådata-K'!M403</f>
        <v>247.85</v>
      </c>
      <c r="D404" s="24">
        <f>'Rådata-K'!O403</f>
        <v>13.686268966167185</v>
      </c>
      <c r="E404" s="24">
        <f>'Rådata-K'!P403</f>
        <v>13.01795038433095</v>
      </c>
      <c r="F404" s="24">
        <f>'Rådata-K'!Q403</f>
        <v>5.13075739752058E-2</v>
      </c>
      <c r="G404" s="24">
        <f>'Rådata-K'!R403</f>
        <v>0.11043208813909451</v>
      </c>
      <c r="H404" s="24">
        <f>'Rådata-K'!S403</f>
        <v>0.15157514202100189</v>
      </c>
      <c r="I404" s="24">
        <f>'Rådata-K'!T403</f>
        <v>0.12314901593252103</v>
      </c>
      <c r="J404" s="24">
        <f>'Rådata-K'!U403</f>
        <v>0.85644246974107552</v>
      </c>
      <c r="K404" s="24">
        <f>'Rådata-K'!L403</f>
        <v>374600</v>
      </c>
      <c r="L404" s="24">
        <f>Tabell2[[#This Row],[NIBR11]]</f>
        <v>8</v>
      </c>
      <c r="M404" s="24">
        <f>IF(Tabell2[[#This Row],[ReisetidOslo]]&lt;=C$434,C$434,IF(Tabell2[[#This Row],[ReisetidOslo]]&gt;=C$435,C$435,Tabell2[[#This Row],[ReisetidOslo]]))</f>
        <v>247.85</v>
      </c>
      <c r="N404" s="24">
        <f>IF(Tabell2[[#This Row],[Beftettland]]&lt;=D$434,D$434,IF(Tabell2[[#This Row],[Beftettland]]&gt;=D$435,D$435,Tabell2[[#This Row],[Beftettland]]))</f>
        <v>13.686268966167185</v>
      </c>
      <c r="O404" s="24">
        <f>IF(Tabell2[[#This Row],[Beftettotal]]&lt;=E$434,E$434,IF(Tabell2[[#This Row],[Beftettotal]]&gt;=E$435,E$435,Tabell2[[#This Row],[Beftettotal]]))</f>
        <v>13.01795038433095</v>
      </c>
      <c r="P404" s="24">
        <f>IF(Tabell2[[#This Row],[Befvekst10]]&lt;=F$434,F$434,IF(Tabell2[[#This Row],[Befvekst10]]&gt;=F$435,F$435,Tabell2[[#This Row],[Befvekst10]]))</f>
        <v>5.13075739752058E-2</v>
      </c>
      <c r="Q404" s="24">
        <f>IF(Tabell2[[#This Row],[Kvinneandel]]&lt;=G$434,G$434,IF(Tabell2[[#This Row],[Kvinneandel]]&gt;=G$435,G$435,Tabell2[[#This Row],[Kvinneandel]]))</f>
        <v>0.11043208813909451</v>
      </c>
      <c r="R404" s="24">
        <f>IF(Tabell2[[#This Row],[Eldreandel]]&lt;=H$434,H$434,IF(Tabell2[[#This Row],[Eldreandel]]&gt;=H$435,H$435,Tabell2[[#This Row],[Eldreandel]]))</f>
        <v>0.15157514202100189</v>
      </c>
      <c r="S404" s="24">
        <f>IF(Tabell2[[#This Row],[Sysselsettingsvekst10]]&lt;=I$434,I$434,IF(Tabell2[[#This Row],[Sysselsettingsvekst10]]&gt;=I$435,I$435,Tabell2[[#This Row],[Sysselsettingsvekst10]]))</f>
        <v>0.12314901593252103</v>
      </c>
      <c r="T404" s="24">
        <f>IF(Tabell2[[#This Row],[Yrkesaktivandel]]&lt;=J$434,J$434,IF(Tabell2[[#This Row],[Yrkesaktivandel]]&gt;=J$435,J$435,Tabell2[[#This Row],[Yrkesaktivandel]]))</f>
        <v>0.85644246974107552</v>
      </c>
      <c r="U404" s="24">
        <f>IF(Tabell2[[#This Row],[Inntekt]]&lt;=K$434,K$434,IF(Tabell2[[#This Row],[Inntekt]]&gt;=K$435,K$435,Tabell2[[#This Row],[Inntekt]]))</f>
        <v>374600</v>
      </c>
      <c r="V404" s="7">
        <f>IF(Tabell2[[#This Row],[NIBR11-T]]&lt;=L$437,100,IF(Tabell2[[#This Row],[NIBR11-T]]&gt;=L$436,0,100*(L$436-Tabell2[[#This Row],[NIBR11-T]])/L$439))</f>
        <v>30</v>
      </c>
      <c r="W404" s="7">
        <f>(M$436-Tabell2[[#This Row],[ReisetidOslo-T]])*100/M$439</f>
        <v>14.306398537485927</v>
      </c>
      <c r="X404" s="7">
        <f>100-(N$436-Tabell2[[#This Row],[Beftettland-T]])*100/N$439</f>
        <v>9.086318548260266</v>
      </c>
      <c r="Y404" s="7">
        <f>100-(O$436-Tabell2[[#This Row],[Beftettotal-T]])*100/O$439</f>
        <v>8.9555448036969523</v>
      </c>
      <c r="Z404" s="7">
        <f>100-(P$436-Tabell2[[#This Row],[Befvekst10-T]])*100/P$439</f>
        <v>49.530786643267305</v>
      </c>
      <c r="AA404" s="7">
        <f>100-(Q$436-Tabell2[[#This Row],[Kvinneandel-T]])*100/Q$439</f>
        <v>54.932390528177073</v>
      </c>
      <c r="AB404" s="7">
        <f>(R$436-Tabell2[[#This Row],[Eldreandel-T]])*100/R$439</f>
        <v>74.202890960396445</v>
      </c>
      <c r="AC404" s="7">
        <f>100-(S$436-Tabell2[[#This Row],[Sysselsettingsvekst10-T]])*100/S$439</f>
        <v>70.400249206408432</v>
      </c>
      <c r="AD404" s="7">
        <f>100-(T$436-Tabell2[[#This Row],[Yrkesaktivandel-T]])*100/T$439</f>
        <v>40.595445449436397</v>
      </c>
      <c r="AE404" s="7">
        <f>100-(U$436-Tabell2[[#This Row],[Inntekt-T]])*100/U$439</f>
        <v>34.070646653876537</v>
      </c>
      <c r="AF404" s="7">
        <v>6</v>
      </c>
      <c r="AG404" s="7">
        <v>1.4306398537485929</v>
      </c>
      <c r="AH404" s="7">
        <v>0.89555448036969532</v>
      </c>
      <c r="AI404" s="7">
        <v>9.9061573286534621</v>
      </c>
      <c r="AJ404" s="7">
        <v>2.7466195264088538</v>
      </c>
      <c r="AK404" s="7">
        <v>3.7101445480198225</v>
      </c>
      <c r="AL404" s="7">
        <v>7.0400249206408434</v>
      </c>
      <c r="AM404" s="7">
        <v>4.0595445449436403</v>
      </c>
      <c r="AN404" s="7">
        <v>3.407064665387654</v>
      </c>
      <c r="AO40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39.195749868172555</v>
      </c>
    </row>
    <row r="405" spans="1:41" x14ac:dyDescent="0.3">
      <c r="A405" s="2" t="s">
        <v>402</v>
      </c>
      <c r="B405">
        <f>'Rådata-K'!N404</f>
        <v>5</v>
      </c>
      <c r="C405" s="7">
        <f>'Rådata-K'!M404</f>
        <v>250.21666666670001</v>
      </c>
      <c r="D405" s="24">
        <f>'Rådata-K'!O404</f>
        <v>3.9567471526828291</v>
      </c>
      <c r="E405" s="24">
        <f>'Rådata-K'!P404</f>
        <v>3.8084867594794649</v>
      </c>
      <c r="F405" s="24">
        <f>'Rådata-K'!Q404</f>
        <v>2.3702639612138698E-2</v>
      </c>
      <c r="G405" s="24">
        <f>'Rådata-K'!R404</f>
        <v>9.7526749693036305E-2</v>
      </c>
      <c r="H405" s="24">
        <f>'Rådata-K'!S404</f>
        <v>0.20733204700929661</v>
      </c>
      <c r="I405" s="24">
        <f>'Rådata-K'!T404</f>
        <v>7.1686203787195701E-2</v>
      </c>
      <c r="J405" s="24">
        <f>'Rådata-K'!U404</f>
        <v>0.86231187960294586</v>
      </c>
      <c r="K405" s="24">
        <f>'Rådata-K'!L404</f>
        <v>349200</v>
      </c>
      <c r="L405" s="24">
        <f>Tabell2[[#This Row],[NIBR11]]</f>
        <v>5</v>
      </c>
      <c r="M405" s="24">
        <f>IF(Tabell2[[#This Row],[ReisetidOslo]]&lt;=C$434,C$434,IF(Tabell2[[#This Row],[ReisetidOslo]]&gt;=C$435,C$435,Tabell2[[#This Row],[ReisetidOslo]]))</f>
        <v>250.21666666670001</v>
      </c>
      <c r="N405" s="24">
        <f>IF(Tabell2[[#This Row],[Beftettland]]&lt;=D$434,D$434,IF(Tabell2[[#This Row],[Beftettland]]&gt;=D$435,D$435,Tabell2[[#This Row],[Beftettland]]))</f>
        <v>3.9567471526828291</v>
      </c>
      <c r="O405" s="24">
        <f>IF(Tabell2[[#This Row],[Beftettotal]]&lt;=E$434,E$434,IF(Tabell2[[#This Row],[Beftettotal]]&gt;=E$435,E$435,Tabell2[[#This Row],[Beftettotal]]))</f>
        <v>3.8084867594794649</v>
      </c>
      <c r="P405" s="24">
        <f>IF(Tabell2[[#This Row],[Befvekst10]]&lt;=F$434,F$434,IF(Tabell2[[#This Row],[Befvekst10]]&gt;=F$435,F$435,Tabell2[[#This Row],[Befvekst10]]))</f>
        <v>2.3702639612138698E-2</v>
      </c>
      <c r="Q405" s="24">
        <f>IF(Tabell2[[#This Row],[Kvinneandel]]&lt;=G$434,G$434,IF(Tabell2[[#This Row],[Kvinneandel]]&gt;=G$435,G$435,Tabell2[[#This Row],[Kvinneandel]]))</f>
        <v>9.7526749693036305E-2</v>
      </c>
      <c r="R405" s="24">
        <f>IF(Tabell2[[#This Row],[Eldreandel]]&lt;=H$434,H$434,IF(Tabell2[[#This Row],[Eldreandel]]&gt;=H$435,H$435,Tabell2[[#This Row],[Eldreandel]]))</f>
        <v>0.20733204700929661</v>
      </c>
      <c r="S405" s="24">
        <f>IF(Tabell2[[#This Row],[Sysselsettingsvekst10]]&lt;=I$434,I$434,IF(Tabell2[[#This Row],[Sysselsettingsvekst10]]&gt;=I$435,I$435,Tabell2[[#This Row],[Sysselsettingsvekst10]]))</f>
        <v>7.1686203787195701E-2</v>
      </c>
      <c r="T405" s="24">
        <f>IF(Tabell2[[#This Row],[Yrkesaktivandel]]&lt;=J$434,J$434,IF(Tabell2[[#This Row],[Yrkesaktivandel]]&gt;=J$435,J$435,Tabell2[[#This Row],[Yrkesaktivandel]]))</f>
        <v>0.86231187960294586</v>
      </c>
      <c r="U405" s="24">
        <f>IF(Tabell2[[#This Row],[Inntekt]]&lt;=K$434,K$434,IF(Tabell2[[#This Row],[Inntekt]]&gt;=K$435,K$435,Tabell2[[#This Row],[Inntekt]]))</f>
        <v>349200</v>
      </c>
      <c r="V405" s="7">
        <f>IF(Tabell2[[#This Row],[NIBR11-T]]&lt;=L$437,100,IF(Tabell2[[#This Row],[NIBR11-T]]&gt;=L$436,0,100*(L$436-Tabell2[[#This Row],[NIBR11-T]])/L$439))</f>
        <v>60</v>
      </c>
      <c r="W405" s="7">
        <f>(M$436-Tabell2[[#This Row],[ReisetidOslo-T]])*100/M$439</f>
        <v>13.268007312608514</v>
      </c>
      <c r="X405" s="7">
        <f>100-(N$436-Tabell2[[#This Row],[Beftettland-T]])*100/N$439</f>
        <v>1.8893548363150643</v>
      </c>
      <c r="Y405" s="7">
        <f>100-(O$436-Tabell2[[#This Row],[Beftettotal-T]])*100/O$439</f>
        <v>1.9062661780034631</v>
      </c>
      <c r="Z405" s="7">
        <f>100-(P$436-Tabell2[[#This Row],[Befvekst10-T]])*100/P$439</f>
        <v>38.357384377542601</v>
      </c>
      <c r="AA405" s="7">
        <f>100-(Q$436-Tabell2[[#This Row],[Kvinneandel-T]])*100/Q$439</f>
        <v>21.029378947833521</v>
      </c>
      <c r="AB405" s="7">
        <f>(R$436-Tabell2[[#This Row],[Eldreandel-T]])*100/R$439</f>
        <v>14.026981731274207</v>
      </c>
      <c r="AC405" s="7">
        <f>100-(S$436-Tabell2[[#This Row],[Sysselsettingsvekst10-T]])*100/S$439</f>
        <v>53.60529351787352</v>
      </c>
      <c r="AD405" s="7">
        <f>100-(T$436-Tabell2[[#This Row],[Yrkesaktivandel-T]])*100/T$439</f>
        <v>44.735103966343239</v>
      </c>
      <c r="AE405" s="7">
        <f>100-(U$436-Tabell2[[#This Row],[Inntekt-T]])*100/U$439</f>
        <v>5.4057104164315604</v>
      </c>
      <c r="AF405" s="7">
        <v>12</v>
      </c>
      <c r="AG405" s="7">
        <v>1.3268007312608514</v>
      </c>
      <c r="AH405" s="7">
        <v>0.19062661780034632</v>
      </c>
      <c r="AI405" s="7">
        <v>7.671476875508521</v>
      </c>
      <c r="AJ405" s="7">
        <v>1.0514689473916761</v>
      </c>
      <c r="AK405" s="7">
        <v>0.70134908656371042</v>
      </c>
      <c r="AL405" s="7">
        <v>5.3605293517873527</v>
      </c>
      <c r="AM405" s="7">
        <v>4.4735103966343237</v>
      </c>
      <c r="AN405" s="7">
        <v>0.54057104164315606</v>
      </c>
      <c r="AO40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33.316333048589932</v>
      </c>
    </row>
    <row r="406" spans="1:41" x14ac:dyDescent="0.3">
      <c r="A406" s="2" t="s">
        <v>403</v>
      </c>
      <c r="B406">
        <f>'Rådata-K'!N405</f>
        <v>4</v>
      </c>
      <c r="C406" s="7">
        <f>'Rådata-K'!M405</f>
        <v>260.81666666670003</v>
      </c>
      <c r="D406" s="24">
        <f>'Rådata-K'!O405</f>
        <v>2.1718647390811925</v>
      </c>
      <c r="E406" s="24">
        <f>'Rådata-K'!P405</f>
        <v>2.0905284951309553</v>
      </c>
      <c r="F406" s="24">
        <f>'Rådata-K'!Q405</f>
        <v>-3.6724356268467706E-2</v>
      </c>
      <c r="G406" s="24">
        <f>'Rådata-K'!R405</f>
        <v>9.815950920245399E-2</v>
      </c>
      <c r="H406" s="24">
        <f>'Rådata-K'!S405</f>
        <v>0.22611744084136723</v>
      </c>
      <c r="I406" s="24">
        <f>'Rådata-K'!T405</f>
        <v>-2.2776572668112838E-2</v>
      </c>
      <c r="J406" s="24">
        <f>'Rådata-K'!U405</f>
        <v>0.8515625</v>
      </c>
      <c r="K406" s="24">
        <f>'Rådata-K'!L405</f>
        <v>352000</v>
      </c>
      <c r="L406" s="24">
        <f>Tabell2[[#This Row],[NIBR11]]</f>
        <v>4</v>
      </c>
      <c r="M406" s="24">
        <f>IF(Tabell2[[#This Row],[ReisetidOslo]]&lt;=C$434,C$434,IF(Tabell2[[#This Row],[ReisetidOslo]]&gt;=C$435,C$435,Tabell2[[#This Row],[ReisetidOslo]]))</f>
        <v>260.81666666670003</v>
      </c>
      <c r="N406" s="24">
        <f>IF(Tabell2[[#This Row],[Beftettland]]&lt;=D$434,D$434,IF(Tabell2[[#This Row],[Beftettland]]&gt;=D$435,D$435,Tabell2[[#This Row],[Beftettland]]))</f>
        <v>2.1718647390811925</v>
      </c>
      <c r="O406" s="24">
        <f>IF(Tabell2[[#This Row],[Beftettotal]]&lt;=E$434,E$434,IF(Tabell2[[#This Row],[Beftettotal]]&gt;=E$435,E$435,Tabell2[[#This Row],[Beftettotal]]))</f>
        <v>2.0905284951309553</v>
      </c>
      <c r="P406" s="24">
        <f>IF(Tabell2[[#This Row],[Befvekst10]]&lt;=F$434,F$434,IF(Tabell2[[#This Row],[Befvekst10]]&gt;=F$435,F$435,Tabell2[[#This Row],[Befvekst10]]))</f>
        <v>-3.6724356268467706E-2</v>
      </c>
      <c r="Q406" s="24">
        <f>IF(Tabell2[[#This Row],[Kvinneandel]]&lt;=G$434,G$434,IF(Tabell2[[#This Row],[Kvinneandel]]&gt;=G$435,G$435,Tabell2[[#This Row],[Kvinneandel]]))</f>
        <v>9.815950920245399E-2</v>
      </c>
      <c r="R406" s="24">
        <f>IF(Tabell2[[#This Row],[Eldreandel]]&lt;=H$434,H$434,IF(Tabell2[[#This Row],[Eldreandel]]&gt;=H$435,H$435,Tabell2[[#This Row],[Eldreandel]]))</f>
        <v>0.22032896051974013</v>
      </c>
      <c r="S406" s="24">
        <f>IF(Tabell2[[#This Row],[Sysselsettingsvekst10]]&lt;=I$434,I$434,IF(Tabell2[[#This Row],[Sysselsettingsvekst10]]&gt;=I$435,I$435,Tabell2[[#This Row],[Sysselsettingsvekst10]]))</f>
        <v>-2.2776572668112838E-2</v>
      </c>
      <c r="T406" s="24">
        <f>IF(Tabell2[[#This Row],[Yrkesaktivandel]]&lt;=J$434,J$434,IF(Tabell2[[#This Row],[Yrkesaktivandel]]&gt;=J$435,J$435,Tabell2[[#This Row],[Yrkesaktivandel]]))</f>
        <v>0.8515625</v>
      </c>
      <c r="U406" s="24">
        <f>IF(Tabell2[[#This Row],[Inntekt]]&lt;=K$434,K$434,IF(Tabell2[[#This Row],[Inntekt]]&gt;=K$435,K$435,Tabell2[[#This Row],[Inntekt]]))</f>
        <v>352000</v>
      </c>
      <c r="V406" s="7">
        <f>IF(Tabell2[[#This Row],[NIBR11-T]]&lt;=L$437,100,IF(Tabell2[[#This Row],[NIBR11-T]]&gt;=L$436,0,100*(L$436-Tabell2[[#This Row],[NIBR11-T]])/L$439))</f>
        <v>70</v>
      </c>
      <c r="W406" s="7">
        <f>(M$436-Tabell2[[#This Row],[ReisetidOslo-T]])*100/M$439</f>
        <v>8.6171846435047765</v>
      </c>
      <c r="X406" s="7">
        <f>100-(N$436-Tabell2[[#This Row],[Beftettland-T]])*100/N$439</f>
        <v>0.56907063252440082</v>
      </c>
      <c r="Y406" s="7">
        <f>100-(O$436-Tabell2[[#This Row],[Beftettotal-T]])*100/O$439</f>
        <v>0.59127466861457378</v>
      </c>
      <c r="Z406" s="7">
        <f>100-(P$436-Tabell2[[#This Row],[Befvekst10-T]])*100/P$439</f>
        <v>13.898889972041388</v>
      </c>
      <c r="AA406" s="7">
        <f>100-(Q$436-Tabell2[[#This Row],[Kvinneandel-T]])*100/Q$439</f>
        <v>22.691671886916623</v>
      </c>
      <c r="AB406" s="7">
        <f>(R$436-Tabell2[[#This Row],[Eldreandel-T]])*100/R$439</f>
        <v>0</v>
      </c>
      <c r="AC406" s="7">
        <f>100-(S$436-Tabell2[[#This Row],[Sysselsettingsvekst10-T]])*100/S$439</f>
        <v>22.777243540682434</v>
      </c>
      <c r="AD406" s="7">
        <f>100-(T$436-Tabell2[[#This Row],[Yrkesaktivandel-T]])*100/T$439</f>
        <v>37.153632937393894</v>
      </c>
      <c r="AE406" s="7">
        <f>100-(U$436-Tabell2[[#This Row],[Inntekt-T]])*100/U$439</f>
        <v>8.5656246473310063</v>
      </c>
      <c r="AF406" s="7">
        <v>14</v>
      </c>
      <c r="AG406" s="7">
        <v>0.86171846435047772</v>
      </c>
      <c r="AH406" s="7">
        <v>5.9127466861457381E-2</v>
      </c>
      <c r="AI406" s="7">
        <v>2.7797779944082777</v>
      </c>
      <c r="AJ406" s="7">
        <v>1.1345835943458311</v>
      </c>
      <c r="AK406" s="7">
        <v>0</v>
      </c>
      <c r="AL406" s="7">
        <v>2.2777243540682437</v>
      </c>
      <c r="AM406" s="7">
        <v>3.7153632937393897</v>
      </c>
      <c r="AN406" s="7">
        <v>0.85656246473310071</v>
      </c>
      <c r="AO40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25.68485763250678</v>
      </c>
    </row>
    <row r="407" spans="1:41" x14ac:dyDescent="0.3">
      <c r="A407" s="2" t="s">
        <v>404</v>
      </c>
      <c r="B407">
        <f>'Rådata-K'!N406</f>
        <v>11</v>
      </c>
      <c r="C407" s="7">
        <f>'Rådata-K'!M406</f>
        <v>297.03333333329999</v>
      </c>
      <c r="D407" s="24">
        <f>'Rådata-K'!O406</f>
        <v>3.5956665996380455</v>
      </c>
      <c r="E407" s="24">
        <f>'Rådata-K'!P406</f>
        <v>3.5209707590824064</v>
      </c>
      <c r="F407" s="24">
        <f>'Rådata-K'!Q406</f>
        <v>-9.4906675102815585E-2</v>
      </c>
      <c r="G407" s="24">
        <f>'Rådata-K'!R406</f>
        <v>8.5634393568682285E-2</v>
      </c>
      <c r="H407" s="24">
        <f>'Rådata-K'!S406</f>
        <v>0.22894092974484445</v>
      </c>
      <c r="I407" s="24">
        <f>'Rådata-K'!T406</f>
        <v>-5.618892508143325E-2</v>
      </c>
      <c r="J407" s="24">
        <f>'Rådata-K'!U406</f>
        <v>0.87458745874587462</v>
      </c>
      <c r="K407" s="24">
        <f>'Rådata-K'!L406</f>
        <v>360800</v>
      </c>
      <c r="L407" s="24">
        <f>Tabell2[[#This Row],[NIBR11]]</f>
        <v>11</v>
      </c>
      <c r="M407" s="24">
        <f>IF(Tabell2[[#This Row],[ReisetidOslo]]&lt;=C$434,C$434,IF(Tabell2[[#This Row],[ReisetidOslo]]&gt;=C$435,C$435,Tabell2[[#This Row],[ReisetidOslo]]))</f>
        <v>280.45666666669001</v>
      </c>
      <c r="N407" s="24">
        <f>IF(Tabell2[[#This Row],[Beftettland]]&lt;=D$434,D$434,IF(Tabell2[[#This Row],[Beftettland]]&gt;=D$435,D$435,Tabell2[[#This Row],[Beftettland]]))</f>
        <v>3.5956665996380455</v>
      </c>
      <c r="O407" s="24">
        <f>IF(Tabell2[[#This Row],[Beftettotal]]&lt;=E$434,E$434,IF(Tabell2[[#This Row],[Beftettotal]]&gt;=E$435,E$435,Tabell2[[#This Row],[Beftettotal]]))</f>
        <v>3.5209707590824064</v>
      </c>
      <c r="P407" s="24">
        <f>IF(Tabell2[[#This Row],[Befvekst10]]&lt;=F$434,F$434,IF(Tabell2[[#This Row],[Befvekst10]]&gt;=F$435,F$435,Tabell2[[#This Row],[Befvekst10]]))</f>
        <v>-7.1062862685144085E-2</v>
      </c>
      <c r="Q407" s="24">
        <f>IF(Tabell2[[#This Row],[Kvinneandel]]&lt;=G$434,G$434,IF(Tabell2[[#This Row],[Kvinneandel]]&gt;=G$435,G$435,Tabell2[[#This Row],[Kvinneandel]]))</f>
        <v>8.9521819157910881E-2</v>
      </c>
      <c r="R407" s="24">
        <f>IF(Tabell2[[#This Row],[Eldreandel]]&lt;=H$434,H$434,IF(Tabell2[[#This Row],[Eldreandel]]&gt;=H$435,H$435,Tabell2[[#This Row],[Eldreandel]]))</f>
        <v>0.22032896051974013</v>
      </c>
      <c r="S407" s="24">
        <f>IF(Tabell2[[#This Row],[Sysselsettingsvekst10]]&lt;=I$434,I$434,IF(Tabell2[[#This Row],[Sysselsettingsvekst10]]&gt;=I$435,I$435,Tabell2[[#This Row],[Sysselsettingsvekst10]]))</f>
        <v>-5.618892508143325E-2</v>
      </c>
      <c r="T407" s="24">
        <f>IF(Tabell2[[#This Row],[Yrkesaktivandel]]&lt;=J$434,J$434,IF(Tabell2[[#This Row],[Yrkesaktivandel]]&gt;=J$435,J$435,Tabell2[[#This Row],[Yrkesaktivandel]]))</f>
        <v>0.87458745874587462</v>
      </c>
      <c r="U407" s="24">
        <f>IF(Tabell2[[#This Row],[Inntekt]]&lt;=K$434,K$434,IF(Tabell2[[#This Row],[Inntekt]]&gt;=K$435,K$435,Tabell2[[#This Row],[Inntekt]]))</f>
        <v>360800</v>
      </c>
      <c r="V407" s="7">
        <f>IF(Tabell2[[#This Row],[NIBR11-T]]&lt;=L$437,100,IF(Tabell2[[#This Row],[NIBR11-T]]&gt;=L$436,0,100*(L$436-Tabell2[[#This Row],[NIBR11-T]])/L$439))</f>
        <v>0</v>
      </c>
      <c r="W407" s="7">
        <f>(M$436-Tabell2[[#This Row],[ReisetidOslo-T]])*100/M$439</f>
        <v>0</v>
      </c>
      <c r="X407" s="7">
        <f>100-(N$436-Tabell2[[#This Row],[Beftettland-T]])*100/N$439</f>
        <v>1.6222621993726278</v>
      </c>
      <c r="Y407" s="7">
        <f>100-(O$436-Tabell2[[#This Row],[Beftettotal-T]])*100/O$439</f>
        <v>1.6861903431117611</v>
      </c>
      <c r="Z407" s="7">
        <f>100-(P$436-Tabell2[[#This Row],[Befvekst10-T]])*100/P$439</f>
        <v>0</v>
      </c>
      <c r="AA407" s="7">
        <f>100-(Q$436-Tabell2[[#This Row],[Kvinneandel-T]])*100/Q$439</f>
        <v>0</v>
      </c>
      <c r="AB407" s="7">
        <f>(R$436-Tabell2[[#This Row],[Eldreandel-T]])*100/R$439</f>
        <v>0</v>
      </c>
      <c r="AC407" s="7">
        <f>100-(S$436-Tabell2[[#This Row],[Sysselsettingsvekst10-T]])*100/S$439</f>
        <v>11.873078866455586</v>
      </c>
      <c r="AD407" s="7">
        <f>100-(T$436-Tabell2[[#This Row],[Yrkesaktivandel-T]])*100/T$439</f>
        <v>53.392994102643229</v>
      </c>
      <c r="AE407" s="7">
        <f>100-(U$436-Tabell2[[#This Row],[Inntekt-T]])*100/U$439</f>
        <v>18.496783658729257</v>
      </c>
      <c r="AF407" s="7">
        <v>0</v>
      </c>
      <c r="AG407" s="7">
        <v>0</v>
      </c>
      <c r="AH407" s="7">
        <v>0.16861903431117611</v>
      </c>
      <c r="AI407" s="7">
        <v>0</v>
      </c>
      <c r="AJ407" s="7">
        <v>0</v>
      </c>
      <c r="AK407" s="7">
        <v>0</v>
      </c>
      <c r="AL407" s="7">
        <v>1.1873078866455586</v>
      </c>
      <c r="AM407" s="7">
        <v>5.3392994102643234</v>
      </c>
      <c r="AN407" s="7">
        <v>1.8496783658729257</v>
      </c>
      <c r="AO40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8.5449046970939833</v>
      </c>
    </row>
    <row r="408" spans="1:41" x14ac:dyDescent="0.3">
      <c r="A408" s="2" t="s">
        <v>405</v>
      </c>
      <c r="B408">
        <f>'Rådata-K'!N407</f>
        <v>10</v>
      </c>
      <c r="C408" s="7">
        <f>'Rådata-K'!M407</f>
        <v>275.55</v>
      </c>
      <c r="D408" s="24">
        <f>'Rådata-K'!O407</f>
        <v>1.2620367174864831</v>
      </c>
      <c r="E408" s="24">
        <f>'Rådata-K'!P407</f>
        <v>1.2088175625311928</v>
      </c>
      <c r="F408" s="24">
        <f>'Rådata-K'!Q407</f>
        <v>-3.4679089026915078E-2</v>
      </c>
      <c r="G408" s="24">
        <f>'Rådata-K'!R407</f>
        <v>9.7050938337801609E-2</v>
      </c>
      <c r="H408" s="24">
        <f>'Rådata-K'!S407</f>
        <v>0.17533512064343162</v>
      </c>
      <c r="I408" s="24">
        <f>'Rådata-K'!T407</f>
        <v>8.7912087912087822E-2</v>
      </c>
      <c r="J408" s="24">
        <f>'Rådata-K'!U407</f>
        <v>0.84947267497603063</v>
      </c>
      <c r="K408" s="24">
        <f>'Rådata-K'!L407</f>
        <v>348000</v>
      </c>
      <c r="L408" s="24">
        <f>Tabell2[[#This Row],[NIBR11]]</f>
        <v>10</v>
      </c>
      <c r="M408" s="24">
        <f>IF(Tabell2[[#This Row],[ReisetidOslo]]&lt;=C$434,C$434,IF(Tabell2[[#This Row],[ReisetidOslo]]&gt;=C$435,C$435,Tabell2[[#This Row],[ReisetidOslo]]))</f>
        <v>275.55</v>
      </c>
      <c r="N408" s="24">
        <f>IF(Tabell2[[#This Row],[Beftettland]]&lt;=D$434,D$434,IF(Tabell2[[#This Row],[Beftettland]]&gt;=D$435,D$435,Tabell2[[#This Row],[Beftettland]]))</f>
        <v>1.4025423756281519</v>
      </c>
      <c r="O408" s="24">
        <f>IF(Tabell2[[#This Row],[Beftettotal]]&lt;=E$434,E$434,IF(Tabell2[[#This Row],[Beftettotal]]&gt;=E$435,E$435,Tabell2[[#This Row],[Beftettotal]]))</f>
        <v>1.3180632767674032</v>
      </c>
      <c r="P408" s="24">
        <f>IF(Tabell2[[#This Row],[Befvekst10]]&lt;=F$434,F$434,IF(Tabell2[[#This Row],[Befvekst10]]&gt;=F$435,F$435,Tabell2[[#This Row],[Befvekst10]]))</f>
        <v>-3.4679089026915078E-2</v>
      </c>
      <c r="Q408" s="24">
        <f>IF(Tabell2[[#This Row],[Kvinneandel]]&lt;=G$434,G$434,IF(Tabell2[[#This Row],[Kvinneandel]]&gt;=G$435,G$435,Tabell2[[#This Row],[Kvinneandel]]))</f>
        <v>9.7050938337801609E-2</v>
      </c>
      <c r="R408" s="24">
        <f>IF(Tabell2[[#This Row],[Eldreandel]]&lt;=H$434,H$434,IF(Tabell2[[#This Row],[Eldreandel]]&gt;=H$435,H$435,Tabell2[[#This Row],[Eldreandel]]))</f>
        <v>0.17533512064343162</v>
      </c>
      <c r="S408" s="24">
        <f>IF(Tabell2[[#This Row],[Sysselsettingsvekst10]]&lt;=I$434,I$434,IF(Tabell2[[#This Row],[Sysselsettingsvekst10]]&gt;=I$435,I$435,Tabell2[[#This Row],[Sysselsettingsvekst10]]))</f>
        <v>8.7912087912087822E-2</v>
      </c>
      <c r="T408" s="24">
        <f>IF(Tabell2[[#This Row],[Yrkesaktivandel]]&lt;=J$434,J$434,IF(Tabell2[[#This Row],[Yrkesaktivandel]]&gt;=J$435,J$435,Tabell2[[#This Row],[Yrkesaktivandel]]))</f>
        <v>0.84947267497603063</v>
      </c>
      <c r="U408" s="24">
        <f>IF(Tabell2[[#This Row],[Inntekt]]&lt;=K$434,K$434,IF(Tabell2[[#This Row],[Inntekt]]&gt;=K$435,K$435,Tabell2[[#This Row],[Inntekt]]))</f>
        <v>348000</v>
      </c>
      <c r="V408" s="7">
        <f>IF(Tabell2[[#This Row],[NIBR11-T]]&lt;=L$437,100,IF(Tabell2[[#This Row],[NIBR11-T]]&gt;=L$436,0,100*(L$436-Tabell2[[#This Row],[NIBR11-T]])/L$439))</f>
        <v>10</v>
      </c>
      <c r="W408" s="7">
        <f>(M$436-Tabell2[[#This Row],[ReisetidOslo-T]])*100/M$439</f>
        <v>2.1528336380356112</v>
      </c>
      <c r="X408" s="7">
        <f>100-(N$436-Tabell2[[#This Row],[Beftettland-T]])*100/N$439</f>
        <v>0</v>
      </c>
      <c r="Y408" s="7">
        <f>100-(O$436-Tabell2[[#This Row],[Beftettotal-T]])*100/O$439</f>
        <v>0</v>
      </c>
      <c r="Z408" s="7">
        <f>100-(P$436-Tabell2[[#This Row],[Befvekst10-T]])*100/P$439</f>
        <v>14.726734491800556</v>
      </c>
      <c r="AA408" s="7">
        <f>100-(Q$436-Tabell2[[#This Row],[Kvinneandel-T]])*100/Q$439</f>
        <v>19.779397170601783</v>
      </c>
      <c r="AB408" s="7">
        <f>(R$436-Tabell2[[#This Row],[Eldreandel-T]])*100/R$439</f>
        <v>48.559819179970766</v>
      </c>
      <c r="AC408" s="7">
        <f>100-(S$436-Tabell2[[#This Row],[Sysselsettingsvekst10-T]])*100/S$439</f>
        <v>58.900631909318562</v>
      </c>
      <c r="AD408" s="7">
        <f>100-(T$436-Tabell2[[#This Row],[Yrkesaktivandel-T]])*100/T$439</f>
        <v>35.679692258021561</v>
      </c>
      <c r="AE408" s="7">
        <f>100-(U$436-Tabell2[[#This Row],[Inntekt-T]])*100/U$439</f>
        <v>4.0514614603317938</v>
      </c>
      <c r="AF408" s="7">
        <v>2</v>
      </c>
      <c r="AG408" s="7">
        <v>0.21528336380356114</v>
      </c>
      <c r="AH408" s="7">
        <v>0</v>
      </c>
      <c r="AI408" s="7">
        <v>2.9453468983601114</v>
      </c>
      <c r="AJ408" s="7">
        <v>0.98896985853008923</v>
      </c>
      <c r="AK408" s="7">
        <v>2.4279909589985387</v>
      </c>
      <c r="AL408" s="7">
        <v>5.8900631909318566</v>
      </c>
      <c r="AM408" s="7">
        <v>3.5679692258021563</v>
      </c>
      <c r="AN408" s="7">
        <v>0.40514614603317939</v>
      </c>
      <c r="AO40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18.440769642459493</v>
      </c>
    </row>
    <row r="409" spans="1:41" x14ac:dyDescent="0.3">
      <c r="A409" s="2" t="s">
        <v>406</v>
      </c>
      <c r="B409">
        <f>'Rådata-K'!N408</f>
        <v>11</v>
      </c>
      <c r="C409" s="7">
        <f>'Rådata-K'!M408</f>
        <v>297.56666666670003</v>
      </c>
      <c r="D409" s="24">
        <f>'Rådata-K'!O408</f>
        <v>2.2623720181410665</v>
      </c>
      <c r="E409" s="24">
        <f>'Rådata-K'!P408</f>
        <v>2.1691317419641236</v>
      </c>
      <c r="F409" s="24">
        <f>'Rådata-K'!Q408</f>
        <v>-4.9093321539141921E-2</v>
      </c>
      <c r="G409" s="24">
        <f>'Rådata-K'!R408</f>
        <v>9.3488372093023256E-2</v>
      </c>
      <c r="H409" s="24">
        <f>'Rådata-K'!S408</f>
        <v>0.22093023255813954</v>
      </c>
      <c r="I409" s="24">
        <f>'Rådata-K'!T408</f>
        <v>5.4676258992805815E-2</v>
      </c>
      <c r="J409" s="24">
        <f>'Rådata-K'!U408</f>
        <v>0.84557595993322199</v>
      </c>
      <c r="K409" s="24">
        <f>'Rådata-K'!L408</f>
        <v>324200</v>
      </c>
      <c r="L409" s="24">
        <f>Tabell2[[#This Row],[NIBR11]]</f>
        <v>11</v>
      </c>
      <c r="M409" s="24">
        <f>IF(Tabell2[[#This Row],[ReisetidOslo]]&lt;=C$434,C$434,IF(Tabell2[[#This Row],[ReisetidOslo]]&gt;=C$435,C$435,Tabell2[[#This Row],[ReisetidOslo]]))</f>
        <v>280.45666666669001</v>
      </c>
      <c r="N409" s="24">
        <f>IF(Tabell2[[#This Row],[Beftettland]]&lt;=D$434,D$434,IF(Tabell2[[#This Row],[Beftettland]]&gt;=D$435,D$435,Tabell2[[#This Row],[Beftettland]]))</f>
        <v>2.2623720181410665</v>
      </c>
      <c r="O409" s="24">
        <f>IF(Tabell2[[#This Row],[Beftettotal]]&lt;=E$434,E$434,IF(Tabell2[[#This Row],[Beftettotal]]&gt;=E$435,E$435,Tabell2[[#This Row],[Beftettotal]]))</f>
        <v>2.1691317419641236</v>
      </c>
      <c r="P409" s="24">
        <f>IF(Tabell2[[#This Row],[Befvekst10]]&lt;=F$434,F$434,IF(Tabell2[[#This Row],[Befvekst10]]&gt;=F$435,F$435,Tabell2[[#This Row],[Befvekst10]]))</f>
        <v>-4.9093321539141921E-2</v>
      </c>
      <c r="Q409" s="24">
        <f>IF(Tabell2[[#This Row],[Kvinneandel]]&lt;=G$434,G$434,IF(Tabell2[[#This Row],[Kvinneandel]]&gt;=G$435,G$435,Tabell2[[#This Row],[Kvinneandel]]))</f>
        <v>9.3488372093023256E-2</v>
      </c>
      <c r="R409" s="24">
        <f>IF(Tabell2[[#This Row],[Eldreandel]]&lt;=H$434,H$434,IF(Tabell2[[#This Row],[Eldreandel]]&gt;=H$435,H$435,Tabell2[[#This Row],[Eldreandel]]))</f>
        <v>0.22032896051974013</v>
      </c>
      <c r="S409" s="24">
        <f>IF(Tabell2[[#This Row],[Sysselsettingsvekst10]]&lt;=I$434,I$434,IF(Tabell2[[#This Row],[Sysselsettingsvekst10]]&gt;=I$435,I$435,Tabell2[[#This Row],[Sysselsettingsvekst10]]))</f>
        <v>5.4676258992805815E-2</v>
      </c>
      <c r="T409" s="24">
        <f>IF(Tabell2[[#This Row],[Yrkesaktivandel]]&lt;=J$434,J$434,IF(Tabell2[[#This Row],[Yrkesaktivandel]]&gt;=J$435,J$435,Tabell2[[#This Row],[Yrkesaktivandel]]))</f>
        <v>0.84557595993322199</v>
      </c>
      <c r="U409" s="24">
        <f>IF(Tabell2[[#This Row],[Inntekt]]&lt;=K$434,K$434,IF(Tabell2[[#This Row],[Inntekt]]&gt;=K$435,K$435,Tabell2[[#This Row],[Inntekt]]))</f>
        <v>344410</v>
      </c>
      <c r="V409" s="7">
        <f>IF(Tabell2[[#This Row],[NIBR11-T]]&lt;=L$437,100,IF(Tabell2[[#This Row],[NIBR11-T]]&gt;=L$436,0,100*(L$436-Tabell2[[#This Row],[NIBR11-T]])/L$439))</f>
        <v>0</v>
      </c>
      <c r="W409" s="7">
        <f>(M$436-Tabell2[[#This Row],[ReisetidOslo-T]])*100/M$439</f>
        <v>0</v>
      </c>
      <c r="X409" s="7">
        <f>100-(N$436-Tabell2[[#This Row],[Beftettland-T]])*100/N$439</f>
        <v>0.63601920569661274</v>
      </c>
      <c r="Y409" s="7">
        <f>100-(O$436-Tabell2[[#This Row],[Beftettotal-T]])*100/O$439</f>
        <v>0.65144062511130585</v>
      </c>
      <c r="Z409" s="7">
        <f>100-(P$436-Tabell2[[#This Row],[Befvekst10-T]])*100/P$439</f>
        <v>8.8924145802750161</v>
      </c>
      <c r="AA409" s="7">
        <f>100-(Q$436-Tabell2[[#This Row],[Kvinneandel-T]])*100/Q$439</f>
        <v>10.42034586347755</v>
      </c>
      <c r="AB409" s="7">
        <f>(R$436-Tabell2[[#This Row],[Eldreandel-T]])*100/R$439</f>
        <v>0</v>
      </c>
      <c r="AC409" s="7">
        <f>100-(S$436-Tabell2[[#This Row],[Sysselsettingsvekst10-T]])*100/S$439</f>
        <v>48.054075907000048</v>
      </c>
      <c r="AD409" s="7">
        <f>100-(T$436-Tabell2[[#This Row],[Yrkesaktivandel-T]])*100/T$439</f>
        <v>32.9313632105453</v>
      </c>
      <c r="AE409" s="7">
        <f>100-(U$436-Tabell2[[#This Row],[Inntekt-T]])*100/U$439</f>
        <v>0</v>
      </c>
      <c r="AF409" s="7">
        <v>0</v>
      </c>
      <c r="AG409" s="7">
        <v>0</v>
      </c>
      <c r="AH409" s="7">
        <v>6.5144062511130585E-2</v>
      </c>
      <c r="AI409" s="7">
        <v>1.7784829160550033</v>
      </c>
      <c r="AJ409" s="7">
        <v>0.52101729317387757</v>
      </c>
      <c r="AK409" s="7">
        <v>0</v>
      </c>
      <c r="AL409" s="7">
        <v>4.8054075907000051</v>
      </c>
      <c r="AM409" s="7">
        <v>3.2931363210545301</v>
      </c>
      <c r="AN409" s="7">
        <v>0</v>
      </c>
      <c r="AO40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10.463188183494548</v>
      </c>
    </row>
    <row r="410" spans="1:41" x14ac:dyDescent="0.3">
      <c r="A410" s="2" t="s">
        <v>407</v>
      </c>
      <c r="B410">
        <f>'Rådata-K'!N409</f>
        <v>9</v>
      </c>
      <c r="C410" s="7">
        <f>'Rådata-K'!M409</f>
        <v>295.8333333333</v>
      </c>
      <c r="D410" s="24">
        <f>'Rådata-K'!O409</f>
        <v>6.2797049398911806</v>
      </c>
      <c r="E410" s="24">
        <f>'Rådata-K'!P409</f>
        <v>6.1642389698121178</v>
      </c>
      <c r="F410" s="24">
        <f>'Rådata-K'!Q409</f>
        <v>-1.7165937394816533E-2</v>
      </c>
      <c r="G410" s="24">
        <f>'Rådata-K'!R409</f>
        <v>0.11438356164383562</v>
      </c>
      <c r="H410" s="24">
        <f>'Rådata-K'!S409</f>
        <v>0.18732876712328766</v>
      </c>
      <c r="I410" s="24">
        <f>'Rådata-K'!T409</f>
        <v>1.2608353033884967E-2</v>
      </c>
      <c r="J410" s="24">
        <f>'Rådata-K'!U409</f>
        <v>0.85389809699201968</v>
      </c>
      <c r="K410" s="24">
        <f>'Rådata-K'!L409</f>
        <v>348000</v>
      </c>
      <c r="L410" s="24">
        <f>Tabell2[[#This Row],[NIBR11]]</f>
        <v>9</v>
      </c>
      <c r="M410" s="24">
        <f>IF(Tabell2[[#This Row],[ReisetidOslo]]&lt;=C$434,C$434,IF(Tabell2[[#This Row],[ReisetidOslo]]&gt;=C$435,C$435,Tabell2[[#This Row],[ReisetidOslo]]))</f>
        <v>280.45666666669001</v>
      </c>
      <c r="N410" s="24">
        <f>IF(Tabell2[[#This Row],[Beftettland]]&lt;=D$434,D$434,IF(Tabell2[[#This Row],[Beftettland]]&gt;=D$435,D$435,Tabell2[[#This Row],[Beftettland]]))</f>
        <v>6.2797049398911806</v>
      </c>
      <c r="O410" s="24">
        <f>IF(Tabell2[[#This Row],[Beftettotal]]&lt;=E$434,E$434,IF(Tabell2[[#This Row],[Beftettotal]]&gt;=E$435,E$435,Tabell2[[#This Row],[Beftettotal]]))</f>
        <v>6.1642389698121178</v>
      </c>
      <c r="P410" s="24">
        <f>IF(Tabell2[[#This Row],[Befvekst10]]&lt;=F$434,F$434,IF(Tabell2[[#This Row],[Befvekst10]]&gt;=F$435,F$435,Tabell2[[#This Row],[Befvekst10]]))</f>
        <v>-1.7165937394816533E-2</v>
      </c>
      <c r="Q410" s="24">
        <f>IF(Tabell2[[#This Row],[Kvinneandel]]&lt;=G$434,G$434,IF(Tabell2[[#This Row],[Kvinneandel]]&gt;=G$435,G$435,Tabell2[[#This Row],[Kvinneandel]]))</f>
        <v>0.11438356164383562</v>
      </c>
      <c r="R410" s="24">
        <f>IF(Tabell2[[#This Row],[Eldreandel]]&lt;=H$434,H$434,IF(Tabell2[[#This Row],[Eldreandel]]&gt;=H$435,H$435,Tabell2[[#This Row],[Eldreandel]]))</f>
        <v>0.18732876712328766</v>
      </c>
      <c r="S410" s="24">
        <f>IF(Tabell2[[#This Row],[Sysselsettingsvekst10]]&lt;=I$434,I$434,IF(Tabell2[[#This Row],[Sysselsettingsvekst10]]&gt;=I$435,I$435,Tabell2[[#This Row],[Sysselsettingsvekst10]]))</f>
        <v>1.2608353033884967E-2</v>
      </c>
      <c r="T410" s="24">
        <f>IF(Tabell2[[#This Row],[Yrkesaktivandel]]&lt;=J$434,J$434,IF(Tabell2[[#This Row],[Yrkesaktivandel]]&gt;=J$435,J$435,Tabell2[[#This Row],[Yrkesaktivandel]]))</f>
        <v>0.85389809699201968</v>
      </c>
      <c r="U410" s="24">
        <f>IF(Tabell2[[#This Row],[Inntekt]]&lt;=K$434,K$434,IF(Tabell2[[#This Row],[Inntekt]]&gt;=K$435,K$435,Tabell2[[#This Row],[Inntekt]]))</f>
        <v>348000</v>
      </c>
      <c r="V410" s="7">
        <f>IF(Tabell2[[#This Row],[NIBR11-T]]&lt;=L$437,100,IF(Tabell2[[#This Row],[NIBR11-T]]&gt;=L$436,0,100*(L$436-Tabell2[[#This Row],[NIBR11-T]])/L$439))</f>
        <v>20</v>
      </c>
      <c r="W410" s="7">
        <f>(M$436-Tabell2[[#This Row],[ReisetidOslo-T]])*100/M$439</f>
        <v>0</v>
      </c>
      <c r="X410" s="7">
        <f>100-(N$436-Tabell2[[#This Row],[Beftettland-T]])*100/N$439</f>
        <v>3.607655408471544</v>
      </c>
      <c r="Y410" s="7">
        <f>100-(O$436-Tabell2[[#This Row],[Beftettotal-T]])*100/O$439</f>
        <v>3.709449770467657</v>
      </c>
      <c r="Z410" s="7">
        <f>100-(P$436-Tabell2[[#This Row],[Befvekst10-T]])*100/P$439</f>
        <v>21.815376165510685</v>
      </c>
      <c r="AA410" s="7">
        <f>100-(Q$436-Tabell2[[#This Row],[Kvinneandel-T]])*100/Q$439</f>
        <v>65.313121924770329</v>
      </c>
      <c r="AB410" s="7">
        <f>(R$436-Tabell2[[#This Row],[Eldreandel-T]])*100/R$439</f>
        <v>35.615618241100243</v>
      </c>
      <c r="AC410" s="7">
        <f>100-(S$436-Tabell2[[#This Row],[Sysselsettingsvekst10-T]])*100/S$439</f>
        <v>34.325160073672279</v>
      </c>
      <c r="AD410" s="7">
        <f>100-(T$436-Tabell2[[#This Row],[Yrkesaktivandel-T]])*100/T$439</f>
        <v>38.800915067559416</v>
      </c>
      <c r="AE410" s="7">
        <f>100-(U$436-Tabell2[[#This Row],[Inntekt-T]])*100/U$439</f>
        <v>4.0514614603317938</v>
      </c>
      <c r="AF410" s="7">
        <v>4</v>
      </c>
      <c r="AG410" s="7">
        <v>0</v>
      </c>
      <c r="AH410" s="7">
        <v>0.37094497704676571</v>
      </c>
      <c r="AI410" s="7">
        <v>4.363075233102137</v>
      </c>
      <c r="AJ410" s="7">
        <v>3.2656560962385166</v>
      </c>
      <c r="AK410" s="7">
        <v>1.7807809120550122</v>
      </c>
      <c r="AL410" s="7">
        <v>3.4325160073672283</v>
      </c>
      <c r="AM410" s="7">
        <v>3.8800915067559418</v>
      </c>
      <c r="AN410" s="7">
        <v>0.40514614603317939</v>
      </c>
      <c r="AO41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21.49821087859878</v>
      </c>
    </row>
    <row r="411" spans="1:41" x14ac:dyDescent="0.3">
      <c r="A411" s="2" t="s">
        <v>408</v>
      </c>
      <c r="B411">
        <f>'Rådata-K'!N410</f>
        <v>9</v>
      </c>
      <c r="C411" s="7">
        <f>'Rådata-K'!M410</f>
        <v>264.38333333333003</v>
      </c>
      <c r="D411" s="24">
        <f>'Rådata-K'!O410</f>
        <v>1.4672997488054771</v>
      </c>
      <c r="E411" s="24">
        <f>'Rådata-K'!P410</f>
        <v>1.424016570374637</v>
      </c>
      <c r="F411" s="24">
        <f>'Rådata-K'!Q410</f>
        <v>2.5775356244761127E-2</v>
      </c>
      <c r="G411" s="24">
        <f>'Rådata-K'!R410</f>
        <v>0.11174668028600612</v>
      </c>
      <c r="H411" s="24">
        <f>'Rådata-K'!S410</f>
        <v>0.17058222676200205</v>
      </c>
      <c r="I411" s="24">
        <f>'Rådata-K'!T410</f>
        <v>-2.9554263565891525E-2</v>
      </c>
      <c r="J411" s="24">
        <f>'Rådata-K'!U410</f>
        <v>0.82799999999999996</v>
      </c>
      <c r="K411" s="24">
        <f>'Rådata-K'!L410</f>
        <v>360500</v>
      </c>
      <c r="L411" s="24">
        <f>Tabell2[[#This Row],[NIBR11]]</f>
        <v>9</v>
      </c>
      <c r="M411" s="24">
        <f>IF(Tabell2[[#This Row],[ReisetidOslo]]&lt;=C$434,C$434,IF(Tabell2[[#This Row],[ReisetidOslo]]&gt;=C$435,C$435,Tabell2[[#This Row],[ReisetidOslo]]))</f>
        <v>264.38333333333003</v>
      </c>
      <c r="N411" s="24">
        <f>IF(Tabell2[[#This Row],[Beftettland]]&lt;=D$434,D$434,IF(Tabell2[[#This Row],[Beftettland]]&gt;=D$435,D$435,Tabell2[[#This Row],[Beftettland]]))</f>
        <v>1.4672997488054771</v>
      </c>
      <c r="O411" s="24">
        <f>IF(Tabell2[[#This Row],[Beftettotal]]&lt;=E$434,E$434,IF(Tabell2[[#This Row],[Beftettotal]]&gt;=E$435,E$435,Tabell2[[#This Row],[Beftettotal]]))</f>
        <v>1.424016570374637</v>
      </c>
      <c r="P411" s="24">
        <f>IF(Tabell2[[#This Row],[Befvekst10]]&lt;=F$434,F$434,IF(Tabell2[[#This Row],[Befvekst10]]&gt;=F$435,F$435,Tabell2[[#This Row],[Befvekst10]]))</f>
        <v>2.5775356244761127E-2</v>
      </c>
      <c r="Q411" s="24">
        <f>IF(Tabell2[[#This Row],[Kvinneandel]]&lt;=G$434,G$434,IF(Tabell2[[#This Row],[Kvinneandel]]&gt;=G$435,G$435,Tabell2[[#This Row],[Kvinneandel]]))</f>
        <v>0.11174668028600612</v>
      </c>
      <c r="R411" s="24">
        <f>IF(Tabell2[[#This Row],[Eldreandel]]&lt;=H$434,H$434,IF(Tabell2[[#This Row],[Eldreandel]]&gt;=H$435,H$435,Tabell2[[#This Row],[Eldreandel]]))</f>
        <v>0.17058222676200205</v>
      </c>
      <c r="S411" s="24">
        <f>IF(Tabell2[[#This Row],[Sysselsettingsvekst10]]&lt;=I$434,I$434,IF(Tabell2[[#This Row],[Sysselsettingsvekst10]]&gt;=I$435,I$435,Tabell2[[#This Row],[Sysselsettingsvekst10]]))</f>
        <v>-2.9554263565891525E-2</v>
      </c>
      <c r="T411" s="24">
        <f>IF(Tabell2[[#This Row],[Yrkesaktivandel]]&lt;=J$434,J$434,IF(Tabell2[[#This Row],[Yrkesaktivandel]]&gt;=J$435,J$435,Tabell2[[#This Row],[Yrkesaktivandel]]))</f>
        <v>0.82799999999999996</v>
      </c>
      <c r="U411" s="24">
        <f>IF(Tabell2[[#This Row],[Inntekt]]&lt;=K$434,K$434,IF(Tabell2[[#This Row],[Inntekt]]&gt;=K$435,K$435,Tabell2[[#This Row],[Inntekt]]))</f>
        <v>360500</v>
      </c>
      <c r="V411" s="7">
        <f>IF(Tabell2[[#This Row],[NIBR11-T]]&lt;=L$437,100,IF(Tabell2[[#This Row],[NIBR11-T]]&gt;=L$436,0,100*(L$436-Tabell2[[#This Row],[NIBR11-T]])/L$439))</f>
        <v>20</v>
      </c>
      <c r="W411" s="7">
        <f>(M$436-Tabell2[[#This Row],[ReisetidOslo-T]])*100/M$439</f>
        <v>7.0522851919670941</v>
      </c>
      <c r="X411" s="7">
        <f>100-(N$436-Tabell2[[#This Row],[Beftettland-T]])*100/N$439</f>
        <v>4.7901271385427435E-2</v>
      </c>
      <c r="Y411" s="7">
        <f>100-(O$436-Tabell2[[#This Row],[Beftettotal-T]])*100/O$439</f>
        <v>8.1100737064858208E-2</v>
      </c>
      <c r="Z411" s="7">
        <f>100-(P$436-Tabell2[[#This Row],[Befvekst10-T]])*100/P$439</f>
        <v>39.196339341700522</v>
      </c>
      <c r="AA411" s="7">
        <f>100-(Q$436-Tabell2[[#This Row],[Kvinneandel-T]])*100/Q$439</f>
        <v>58.38589412798278</v>
      </c>
      <c r="AB411" s="7">
        <f>(R$436-Tabell2[[#This Row],[Eldreandel-T]])*100/R$439</f>
        <v>53.689402876278862</v>
      </c>
      <c r="AC411" s="7">
        <f>100-(S$436-Tabell2[[#This Row],[Sysselsettingsvekst10-T]])*100/S$439</f>
        <v>20.565335299497846</v>
      </c>
      <c r="AD411" s="7">
        <f>100-(T$436-Tabell2[[#This Row],[Yrkesaktivandel-T]])*100/T$439</f>
        <v>20.535147246306792</v>
      </c>
      <c r="AE411" s="7">
        <f>100-(U$436-Tabell2[[#This Row],[Inntekt-T]])*100/U$439</f>
        <v>18.158221419704319</v>
      </c>
      <c r="AF411" s="7">
        <v>4</v>
      </c>
      <c r="AG411" s="7">
        <v>0.70522851919670948</v>
      </c>
      <c r="AH411" s="7">
        <v>8.1100737064858219E-3</v>
      </c>
      <c r="AI411" s="7">
        <v>7.8392678683401051</v>
      </c>
      <c r="AJ411" s="7">
        <v>2.919294706399139</v>
      </c>
      <c r="AK411" s="7">
        <v>2.6844701438139431</v>
      </c>
      <c r="AL411" s="7">
        <v>2.0565335299497849</v>
      </c>
      <c r="AM411" s="7">
        <v>2.0535147246306793</v>
      </c>
      <c r="AN411" s="7">
        <v>1.8158221419704319</v>
      </c>
      <c r="AO41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24.082241708007281</v>
      </c>
    </row>
    <row r="412" spans="1:41" x14ac:dyDescent="0.3">
      <c r="A412" s="2" t="s">
        <v>409</v>
      </c>
      <c r="B412">
        <f>'Rådata-K'!N411</f>
        <v>11</v>
      </c>
      <c r="C412" s="7">
        <f>'Rådata-K'!M411</f>
        <v>292.60000000000002</v>
      </c>
      <c r="D412" s="24">
        <f>'Rådata-K'!O411</f>
        <v>0.61285247729807235</v>
      </c>
      <c r="E412" s="24">
        <f>'Rådata-K'!P411</f>
        <v>0.5835589034212384</v>
      </c>
      <c r="F412" s="24">
        <f>'Rådata-K'!Q411</f>
        <v>-0.11247296322999278</v>
      </c>
      <c r="G412" s="24">
        <f>'Rådata-K'!R411</f>
        <v>8.6108854589764416E-2</v>
      </c>
      <c r="H412" s="24">
        <f>'Rådata-K'!S411</f>
        <v>0.23233143785540211</v>
      </c>
      <c r="I412" s="24">
        <f>'Rådata-K'!T411</f>
        <v>-0.115234375</v>
      </c>
      <c r="J412" s="24">
        <f>'Rådata-K'!U411</f>
        <v>0.81777108433734935</v>
      </c>
      <c r="K412" s="24">
        <f>'Rådata-K'!L411</f>
        <v>340300</v>
      </c>
      <c r="L412" s="24">
        <f>Tabell2[[#This Row],[NIBR11]]</f>
        <v>11</v>
      </c>
      <c r="M412" s="24">
        <f>IF(Tabell2[[#This Row],[ReisetidOslo]]&lt;=C$434,C$434,IF(Tabell2[[#This Row],[ReisetidOslo]]&gt;=C$435,C$435,Tabell2[[#This Row],[ReisetidOslo]]))</f>
        <v>280.45666666669001</v>
      </c>
      <c r="N412" s="24">
        <f>IF(Tabell2[[#This Row],[Beftettland]]&lt;=D$434,D$434,IF(Tabell2[[#This Row],[Beftettland]]&gt;=D$435,D$435,Tabell2[[#This Row],[Beftettland]]))</f>
        <v>1.4025423756281519</v>
      </c>
      <c r="O412" s="24">
        <f>IF(Tabell2[[#This Row],[Beftettotal]]&lt;=E$434,E$434,IF(Tabell2[[#This Row],[Beftettotal]]&gt;=E$435,E$435,Tabell2[[#This Row],[Beftettotal]]))</f>
        <v>1.3180632767674032</v>
      </c>
      <c r="P412" s="24">
        <f>IF(Tabell2[[#This Row],[Befvekst10]]&lt;=F$434,F$434,IF(Tabell2[[#This Row],[Befvekst10]]&gt;=F$435,F$435,Tabell2[[#This Row],[Befvekst10]]))</f>
        <v>-7.1062862685144085E-2</v>
      </c>
      <c r="Q412" s="24">
        <f>IF(Tabell2[[#This Row],[Kvinneandel]]&lt;=G$434,G$434,IF(Tabell2[[#This Row],[Kvinneandel]]&gt;=G$435,G$435,Tabell2[[#This Row],[Kvinneandel]]))</f>
        <v>8.9521819157910881E-2</v>
      </c>
      <c r="R412" s="24">
        <f>IF(Tabell2[[#This Row],[Eldreandel]]&lt;=H$434,H$434,IF(Tabell2[[#This Row],[Eldreandel]]&gt;=H$435,H$435,Tabell2[[#This Row],[Eldreandel]]))</f>
        <v>0.22032896051974013</v>
      </c>
      <c r="S412" s="24">
        <f>IF(Tabell2[[#This Row],[Sysselsettingsvekst10]]&lt;=I$434,I$434,IF(Tabell2[[#This Row],[Sysselsettingsvekst10]]&gt;=I$435,I$435,Tabell2[[#This Row],[Sysselsettingsvekst10]]))</f>
        <v>-9.2570207570207563E-2</v>
      </c>
      <c r="T412" s="24">
        <f>IF(Tabell2[[#This Row],[Yrkesaktivandel]]&lt;=J$434,J$434,IF(Tabell2[[#This Row],[Yrkesaktivandel]]&gt;=J$435,J$435,Tabell2[[#This Row],[Yrkesaktivandel]]))</f>
        <v>0.81777108433734935</v>
      </c>
      <c r="U412" s="24">
        <f>IF(Tabell2[[#This Row],[Inntekt]]&lt;=K$434,K$434,IF(Tabell2[[#This Row],[Inntekt]]&gt;=K$435,K$435,Tabell2[[#This Row],[Inntekt]]))</f>
        <v>344410</v>
      </c>
      <c r="V412" s="7">
        <f>IF(Tabell2[[#This Row],[NIBR11-T]]&lt;=L$437,100,IF(Tabell2[[#This Row],[NIBR11-T]]&gt;=L$436,0,100*(L$436-Tabell2[[#This Row],[NIBR11-T]])/L$439))</f>
        <v>0</v>
      </c>
      <c r="W412" s="7">
        <f>(M$436-Tabell2[[#This Row],[ReisetidOslo-T]])*100/M$439</f>
        <v>0</v>
      </c>
      <c r="X412" s="7">
        <f>100-(N$436-Tabell2[[#This Row],[Beftettland-T]])*100/N$439</f>
        <v>0</v>
      </c>
      <c r="Y412" s="7">
        <f>100-(O$436-Tabell2[[#This Row],[Beftettotal-T]])*100/O$439</f>
        <v>0</v>
      </c>
      <c r="Z412" s="7">
        <f>100-(P$436-Tabell2[[#This Row],[Befvekst10-T]])*100/P$439</f>
        <v>0</v>
      </c>
      <c r="AA412" s="7">
        <f>100-(Q$436-Tabell2[[#This Row],[Kvinneandel-T]])*100/Q$439</f>
        <v>0</v>
      </c>
      <c r="AB412" s="7">
        <f>(R$436-Tabell2[[#This Row],[Eldreandel-T]])*100/R$439</f>
        <v>0</v>
      </c>
      <c r="AC412" s="7">
        <f>100-(S$436-Tabell2[[#This Row],[Sysselsettingsvekst10-T]])*100/S$439</f>
        <v>0</v>
      </c>
      <c r="AD412" s="7">
        <f>100-(T$436-Tabell2[[#This Row],[Yrkesaktivandel-T]])*100/T$439</f>
        <v>13.320756219247031</v>
      </c>
      <c r="AE412" s="7">
        <f>100-(U$436-Tabell2[[#This Row],[Inntekt-T]])*100/U$439</f>
        <v>0</v>
      </c>
      <c r="AF412" s="7">
        <v>0</v>
      </c>
      <c r="AG412" s="7">
        <v>0</v>
      </c>
      <c r="AH412" s="7">
        <v>0</v>
      </c>
      <c r="AI412" s="7">
        <v>0</v>
      </c>
      <c r="AJ412" s="7">
        <v>0</v>
      </c>
      <c r="AK412" s="7">
        <v>0</v>
      </c>
      <c r="AL412" s="7">
        <v>0</v>
      </c>
      <c r="AM412" s="7">
        <v>1.3320756219247032</v>
      </c>
      <c r="AN412" s="7">
        <v>0</v>
      </c>
      <c r="AO41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1.3320756219247032</v>
      </c>
    </row>
    <row r="413" spans="1:41" x14ac:dyDescent="0.3">
      <c r="A413" s="2" t="s">
        <v>410</v>
      </c>
      <c r="B413">
        <f>'Rådata-K'!N412</f>
        <v>11</v>
      </c>
      <c r="C413" s="7">
        <f>'Rådata-K'!M412</f>
        <v>277.06666666667002</v>
      </c>
      <c r="D413" s="24">
        <f>'Rådata-K'!O412</f>
        <v>3.6493109513482129</v>
      </c>
      <c r="E413" s="24">
        <f>'Rådata-K'!P412</f>
        <v>3.5580493165281961</v>
      </c>
      <c r="F413" s="24">
        <f>'Rådata-K'!Q412</f>
        <v>-8.5970915312232665E-2</v>
      </c>
      <c r="G413" s="24">
        <f>'Rådata-K'!R412</f>
        <v>9.9672437997192331E-2</v>
      </c>
      <c r="H413" s="24">
        <f>'Rådata-K'!S412</f>
        <v>0.19466541881141788</v>
      </c>
      <c r="I413" s="24">
        <f>'Rådata-K'!T412</f>
        <v>-5.3361792956243326E-2</v>
      </c>
      <c r="J413" s="24">
        <f>'Rådata-K'!U412</f>
        <v>0.74844720496894412</v>
      </c>
      <c r="K413" s="24">
        <f>'Rådata-K'!L412</f>
        <v>342800</v>
      </c>
      <c r="L413" s="24">
        <f>Tabell2[[#This Row],[NIBR11]]</f>
        <v>11</v>
      </c>
      <c r="M413" s="24">
        <f>IF(Tabell2[[#This Row],[ReisetidOslo]]&lt;=C$434,C$434,IF(Tabell2[[#This Row],[ReisetidOslo]]&gt;=C$435,C$435,Tabell2[[#This Row],[ReisetidOslo]]))</f>
        <v>277.06666666667002</v>
      </c>
      <c r="N413" s="24">
        <f>IF(Tabell2[[#This Row],[Beftettland]]&lt;=D$434,D$434,IF(Tabell2[[#This Row],[Beftettland]]&gt;=D$435,D$435,Tabell2[[#This Row],[Beftettland]]))</f>
        <v>3.6493109513482129</v>
      </c>
      <c r="O413" s="24">
        <f>IF(Tabell2[[#This Row],[Beftettotal]]&lt;=E$434,E$434,IF(Tabell2[[#This Row],[Beftettotal]]&gt;=E$435,E$435,Tabell2[[#This Row],[Beftettotal]]))</f>
        <v>3.5580493165281961</v>
      </c>
      <c r="P413" s="24">
        <f>IF(Tabell2[[#This Row],[Befvekst10]]&lt;=F$434,F$434,IF(Tabell2[[#This Row],[Befvekst10]]&gt;=F$435,F$435,Tabell2[[#This Row],[Befvekst10]]))</f>
        <v>-7.1062862685144085E-2</v>
      </c>
      <c r="Q413" s="24">
        <f>IF(Tabell2[[#This Row],[Kvinneandel]]&lt;=G$434,G$434,IF(Tabell2[[#This Row],[Kvinneandel]]&gt;=G$435,G$435,Tabell2[[#This Row],[Kvinneandel]]))</f>
        <v>9.9672437997192331E-2</v>
      </c>
      <c r="R413" s="24">
        <f>IF(Tabell2[[#This Row],[Eldreandel]]&lt;=H$434,H$434,IF(Tabell2[[#This Row],[Eldreandel]]&gt;=H$435,H$435,Tabell2[[#This Row],[Eldreandel]]))</f>
        <v>0.19466541881141788</v>
      </c>
      <c r="S413" s="24">
        <f>IF(Tabell2[[#This Row],[Sysselsettingsvekst10]]&lt;=I$434,I$434,IF(Tabell2[[#This Row],[Sysselsettingsvekst10]]&gt;=I$435,I$435,Tabell2[[#This Row],[Sysselsettingsvekst10]]))</f>
        <v>-5.3361792956243326E-2</v>
      </c>
      <c r="T413" s="24">
        <f>IF(Tabell2[[#This Row],[Yrkesaktivandel]]&lt;=J$434,J$434,IF(Tabell2[[#This Row],[Yrkesaktivandel]]&gt;=J$435,J$435,Tabell2[[#This Row],[Yrkesaktivandel]]))</f>
        <v>0.79888426611272945</v>
      </c>
      <c r="U413" s="24">
        <f>IF(Tabell2[[#This Row],[Inntekt]]&lt;=K$434,K$434,IF(Tabell2[[#This Row],[Inntekt]]&gt;=K$435,K$435,Tabell2[[#This Row],[Inntekt]]))</f>
        <v>344410</v>
      </c>
      <c r="V413" s="7">
        <f>IF(Tabell2[[#This Row],[NIBR11-T]]&lt;=L$437,100,IF(Tabell2[[#This Row],[NIBR11-T]]&gt;=L$436,0,100*(L$436-Tabell2[[#This Row],[NIBR11-T]])/L$439))</f>
        <v>0</v>
      </c>
      <c r="W413" s="7">
        <f>(M$436-Tabell2[[#This Row],[ReisetidOslo-T]])*100/M$439</f>
        <v>1.4873857404108144</v>
      </c>
      <c r="X413" s="7">
        <f>100-(N$436-Tabell2[[#This Row],[Beftettland-T]])*100/N$439</f>
        <v>1.6619431271725773</v>
      </c>
      <c r="Y413" s="7">
        <f>100-(O$436-Tabell2[[#This Row],[Beftettotal-T]])*100/O$439</f>
        <v>1.7145717009324954</v>
      </c>
      <c r="Z413" s="7">
        <f>100-(P$436-Tabell2[[#This Row],[Befvekst10-T]])*100/P$439</f>
        <v>0</v>
      </c>
      <c r="AA413" s="7">
        <f>100-(Q$436-Tabell2[[#This Row],[Kvinneandel-T]])*100/Q$439</f>
        <v>26.666216426189521</v>
      </c>
      <c r="AB413" s="7">
        <f>(R$436-Tabell2[[#This Row],[Eldreandel-T]])*100/R$439</f>
        <v>27.697501442413262</v>
      </c>
      <c r="AC413" s="7">
        <f>100-(S$436-Tabell2[[#This Row],[Sysselsettingsvekst10-T]])*100/S$439</f>
        <v>12.795717113159156</v>
      </c>
      <c r="AD413" s="7">
        <f>100-(T$436-Tabell2[[#This Row],[Yrkesaktivandel-T]])*100/T$439</f>
        <v>0</v>
      </c>
      <c r="AE413" s="7">
        <f>100-(U$436-Tabell2[[#This Row],[Inntekt-T]])*100/U$439</f>
        <v>0</v>
      </c>
      <c r="AF413" s="7">
        <v>0</v>
      </c>
      <c r="AG413" s="7">
        <v>0.14873857404108146</v>
      </c>
      <c r="AH413" s="7">
        <v>0.17145717009324957</v>
      </c>
      <c r="AI413" s="7">
        <v>0</v>
      </c>
      <c r="AJ413" s="7">
        <v>1.3333108213094762</v>
      </c>
      <c r="AK413" s="7">
        <v>1.3848750721206633</v>
      </c>
      <c r="AL413" s="7">
        <v>1.2795717113159157</v>
      </c>
      <c r="AM413" s="7">
        <v>0</v>
      </c>
      <c r="AN413" s="7">
        <v>0</v>
      </c>
      <c r="AO41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4.317953348880387</v>
      </c>
    </row>
    <row r="414" spans="1:41" x14ac:dyDescent="0.3">
      <c r="A414" s="2" t="s">
        <v>411</v>
      </c>
      <c r="B414">
        <f>'Rådata-K'!N413</f>
        <v>7</v>
      </c>
      <c r="C414" s="7">
        <f>'Rådata-K'!M413</f>
        <v>311.2</v>
      </c>
      <c r="D414" s="24">
        <f>'Rådata-K'!O413</f>
        <v>4.9931911030413074</v>
      </c>
      <c r="E414" s="24">
        <f>'Rådata-K'!P413</f>
        <v>4.89806303870742</v>
      </c>
      <c r="F414" s="24">
        <f>'Rådata-K'!Q413</f>
        <v>7.5237160614982646E-3</v>
      </c>
      <c r="G414" s="24">
        <f>'Rådata-K'!R413</f>
        <v>0.10974025974025974</v>
      </c>
      <c r="H414" s="24">
        <f>'Rådata-K'!S413</f>
        <v>0.14561688311688312</v>
      </c>
      <c r="I414" s="24">
        <f>'Rådata-K'!T413</f>
        <v>-3.7760000000000016E-2</v>
      </c>
      <c r="J414" s="24">
        <f>'Rådata-K'!U413</f>
        <v>0.82841898343162035</v>
      </c>
      <c r="K414" s="24">
        <f>'Rådata-K'!L413</f>
        <v>370300</v>
      </c>
      <c r="L414" s="24">
        <f>Tabell2[[#This Row],[NIBR11]]</f>
        <v>7</v>
      </c>
      <c r="M414" s="24">
        <f>IF(Tabell2[[#This Row],[ReisetidOslo]]&lt;=C$434,C$434,IF(Tabell2[[#This Row],[ReisetidOslo]]&gt;=C$435,C$435,Tabell2[[#This Row],[ReisetidOslo]]))</f>
        <v>280.45666666669001</v>
      </c>
      <c r="N414" s="24">
        <f>IF(Tabell2[[#This Row],[Beftettland]]&lt;=D$434,D$434,IF(Tabell2[[#This Row],[Beftettland]]&gt;=D$435,D$435,Tabell2[[#This Row],[Beftettland]]))</f>
        <v>4.9931911030413074</v>
      </c>
      <c r="O414" s="24">
        <f>IF(Tabell2[[#This Row],[Beftettotal]]&lt;=E$434,E$434,IF(Tabell2[[#This Row],[Beftettotal]]&gt;=E$435,E$435,Tabell2[[#This Row],[Beftettotal]]))</f>
        <v>4.89806303870742</v>
      </c>
      <c r="P414" s="24">
        <f>IF(Tabell2[[#This Row],[Befvekst10]]&lt;=F$434,F$434,IF(Tabell2[[#This Row],[Befvekst10]]&gt;=F$435,F$435,Tabell2[[#This Row],[Befvekst10]]))</f>
        <v>7.5237160614982646E-3</v>
      </c>
      <c r="Q414" s="24">
        <f>IF(Tabell2[[#This Row],[Kvinneandel]]&lt;=G$434,G$434,IF(Tabell2[[#This Row],[Kvinneandel]]&gt;=G$435,G$435,Tabell2[[#This Row],[Kvinneandel]]))</f>
        <v>0.10974025974025974</v>
      </c>
      <c r="R414" s="24">
        <f>IF(Tabell2[[#This Row],[Eldreandel]]&lt;=H$434,H$434,IF(Tabell2[[#This Row],[Eldreandel]]&gt;=H$435,H$435,Tabell2[[#This Row],[Eldreandel]]))</f>
        <v>0.14561688311688312</v>
      </c>
      <c r="S414" s="24">
        <f>IF(Tabell2[[#This Row],[Sysselsettingsvekst10]]&lt;=I$434,I$434,IF(Tabell2[[#This Row],[Sysselsettingsvekst10]]&gt;=I$435,I$435,Tabell2[[#This Row],[Sysselsettingsvekst10]]))</f>
        <v>-3.7760000000000016E-2</v>
      </c>
      <c r="T414" s="24">
        <f>IF(Tabell2[[#This Row],[Yrkesaktivandel]]&lt;=J$434,J$434,IF(Tabell2[[#This Row],[Yrkesaktivandel]]&gt;=J$435,J$435,Tabell2[[#This Row],[Yrkesaktivandel]]))</f>
        <v>0.82841898343162035</v>
      </c>
      <c r="U414" s="24">
        <f>IF(Tabell2[[#This Row],[Inntekt]]&lt;=K$434,K$434,IF(Tabell2[[#This Row],[Inntekt]]&gt;=K$435,K$435,Tabell2[[#This Row],[Inntekt]]))</f>
        <v>370300</v>
      </c>
      <c r="V414" s="7">
        <f>IF(Tabell2[[#This Row],[NIBR11-T]]&lt;=L$437,100,IF(Tabell2[[#This Row],[NIBR11-T]]&gt;=L$436,0,100*(L$436-Tabell2[[#This Row],[NIBR11-T]])/L$439))</f>
        <v>40</v>
      </c>
      <c r="W414" s="7">
        <f>(M$436-Tabell2[[#This Row],[ReisetidOslo-T]])*100/M$439</f>
        <v>0</v>
      </c>
      <c r="X414" s="7">
        <f>100-(N$436-Tabell2[[#This Row],[Beftettland-T]])*100/N$439</f>
        <v>2.6560163067541538</v>
      </c>
      <c r="Y414" s="7">
        <f>100-(O$436-Tabell2[[#This Row],[Beftettotal-T]])*100/O$439</f>
        <v>2.7402698821386338</v>
      </c>
      <c r="Z414" s="7">
        <f>100-(P$436-Tabell2[[#This Row],[Befvekst10-T]])*100/P$439</f>
        <v>31.808786265330767</v>
      </c>
      <c r="AA414" s="7">
        <f>100-(Q$436-Tabell2[[#This Row],[Kvinneandel-T]])*100/Q$439</f>
        <v>53.114920469926098</v>
      </c>
      <c r="AB414" s="7">
        <f>(R$436-Tabell2[[#This Row],[Eldreandel-T]])*100/R$439</f>
        <v>80.633370683995366</v>
      </c>
      <c r="AC414" s="7">
        <f>100-(S$436-Tabell2[[#This Row],[Sysselsettingsvekst10-T]])*100/S$439</f>
        <v>17.887382539872618</v>
      </c>
      <c r="AD414" s="7">
        <f>100-(T$436-Tabell2[[#This Row],[Yrkesaktivandel-T]])*100/T$439</f>
        <v>20.830653672330598</v>
      </c>
      <c r="AE414" s="7">
        <f>100-(U$436-Tabell2[[#This Row],[Inntekt-T]])*100/U$439</f>
        <v>29.217921227852386</v>
      </c>
      <c r="AF414" s="7">
        <v>8</v>
      </c>
      <c r="AG414" s="7">
        <v>0</v>
      </c>
      <c r="AH414" s="7">
        <v>0.2740269882138634</v>
      </c>
      <c r="AI414" s="7">
        <v>6.3617572530661537</v>
      </c>
      <c r="AJ414" s="7">
        <v>2.6557460234963051</v>
      </c>
      <c r="AK414" s="7">
        <v>4.0316685341997687</v>
      </c>
      <c r="AL414" s="7">
        <v>1.7887382539872618</v>
      </c>
      <c r="AM414" s="7">
        <v>2.0830653672330599</v>
      </c>
      <c r="AN414" s="7">
        <v>2.9217921227852388</v>
      </c>
      <c r="AO41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28.116794542981655</v>
      </c>
    </row>
    <row r="415" spans="1:41" x14ac:dyDescent="0.3">
      <c r="A415" s="2" t="s">
        <v>412</v>
      </c>
      <c r="B415">
        <f>'Rådata-K'!N414</f>
        <v>6</v>
      </c>
      <c r="C415" s="7">
        <f>'Rådata-K'!M414</f>
        <v>281.23333333332999</v>
      </c>
      <c r="D415" s="24">
        <f>'Rådata-K'!O414</f>
        <v>12.771493489042536</v>
      </c>
      <c r="E415" s="24">
        <f>'Rådata-K'!P414</f>
        <v>12.326102334355104</v>
      </c>
      <c r="F415" s="24">
        <f>'Rådata-K'!Q414</f>
        <v>0.11686785599829075</v>
      </c>
      <c r="G415" s="24">
        <f>'Rådata-K'!R414</f>
        <v>0.13648971783835484</v>
      </c>
      <c r="H415" s="24">
        <f>'Rådata-K'!S414</f>
        <v>0.12472501195600191</v>
      </c>
      <c r="I415" s="24">
        <f>'Rådata-K'!T414</f>
        <v>7.6923076923076872E-2</v>
      </c>
      <c r="J415" s="24">
        <f>'Rådata-K'!U414</f>
        <v>0.86441736957200876</v>
      </c>
      <c r="K415" s="24">
        <f>'Rådata-K'!L414</f>
        <v>425200</v>
      </c>
      <c r="L415" s="24">
        <f>Tabell2[[#This Row],[NIBR11]]</f>
        <v>6</v>
      </c>
      <c r="M415" s="24">
        <f>IF(Tabell2[[#This Row],[ReisetidOslo]]&lt;=C$434,C$434,IF(Tabell2[[#This Row],[ReisetidOslo]]&gt;=C$435,C$435,Tabell2[[#This Row],[ReisetidOslo]]))</f>
        <v>280.45666666669001</v>
      </c>
      <c r="N415" s="24">
        <f>IF(Tabell2[[#This Row],[Beftettland]]&lt;=D$434,D$434,IF(Tabell2[[#This Row],[Beftettland]]&gt;=D$435,D$435,Tabell2[[#This Row],[Beftettland]]))</f>
        <v>12.771493489042536</v>
      </c>
      <c r="O415" s="24">
        <f>IF(Tabell2[[#This Row],[Beftettotal]]&lt;=E$434,E$434,IF(Tabell2[[#This Row],[Beftettotal]]&gt;=E$435,E$435,Tabell2[[#This Row],[Beftettotal]]))</f>
        <v>12.326102334355104</v>
      </c>
      <c r="P415" s="24">
        <f>IF(Tabell2[[#This Row],[Befvekst10]]&lt;=F$434,F$434,IF(Tabell2[[#This Row],[Befvekst10]]&gt;=F$435,F$435,Tabell2[[#This Row],[Befvekst10]]))</f>
        <v>0.11686785599829075</v>
      </c>
      <c r="Q415" s="24">
        <f>IF(Tabell2[[#This Row],[Kvinneandel]]&lt;=G$434,G$434,IF(Tabell2[[#This Row],[Kvinneandel]]&gt;=G$435,G$435,Tabell2[[#This Row],[Kvinneandel]]))</f>
        <v>0.12758728250318055</v>
      </c>
      <c r="R415" s="24">
        <f>IF(Tabell2[[#This Row],[Eldreandel]]&lt;=H$434,H$434,IF(Tabell2[[#This Row],[Eldreandel]]&gt;=H$435,H$435,Tabell2[[#This Row],[Eldreandel]]))</f>
        <v>0.12767243783057225</v>
      </c>
      <c r="S415" s="24">
        <f>IF(Tabell2[[#This Row],[Sysselsettingsvekst10]]&lt;=I$434,I$434,IF(Tabell2[[#This Row],[Sysselsettingsvekst10]]&gt;=I$435,I$435,Tabell2[[#This Row],[Sysselsettingsvekst10]]))</f>
        <v>7.6923076923076872E-2</v>
      </c>
      <c r="T415" s="24">
        <f>IF(Tabell2[[#This Row],[Yrkesaktivandel]]&lt;=J$434,J$434,IF(Tabell2[[#This Row],[Yrkesaktivandel]]&gt;=J$435,J$435,Tabell2[[#This Row],[Yrkesaktivandel]]))</f>
        <v>0.86441736957200876</v>
      </c>
      <c r="U415" s="24">
        <f>IF(Tabell2[[#This Row],[Inntekt]]&lt;=K$434,K$434,IF(Tabell2[[#This Row],[Inntekt]]&gt;=K$435,K$435,Tabell2[[#This Row],[Inntekt]]))</f>
        <v>425200</v>
      </c>
      <c r="V415" s="7">
        <f>IF(Tabell2[[#This Row],[NIBR11-T]]&lt;=L$437,100,IF(Tabell2[[#This Row],[NIBR11-T]]&gt;=L$436,0,100*(L$436-Tabell2[[#This Row],[NIBR11-T]])/L$439))</f>
        <v>50</v>
      </c>
      <c r="W415" s="7">
        <f>(M$436-Tabell2[[#This Row],[ReisetidOslo-T]])*100/M$439</f>
        <v>0</v>
      </c>
      <c r="X415" s="7">
        <f>100-(N$436-Tabell2[[#This Row],[Beftettland-T]])*100/N$439</f>
        <v>8.4096557029887578</v>
      </c>
      <c r="Y415" s="7">
        <f>100-(O$436-Tabell2[[#This Row],[Beftettotal-T]])*100/O$439</f>
        <v>8.4259776248048013</v>
      </c>
      <c r="Z415" s="7">
        <f>100-(P$436-Tabell2[[#This Row],[Befvekst10-T]])*100/P$439</f>
        <v>76.067035346627691</v>
      </c>
      <c r="AA415" s="7">
        <f>100-(Q$436-Tabell2[[#This Row],[Kvinneandel-T]])*100/Q$439</f>
        <v>100</v>
      </c>
      <c r="AB415" s="7">
        <f>(R$436-Tabell2[[#This Row],[Eldreandel-T]])*100/R$439</f>
        <v>100</v>
      </c>
      <c r="AC415" s="7">
        <f>100-(S$436-Tabell2[[#This Row],[Sysselsettingsvekst10-T]])*100/S$439</f>
        <v>55.314353878104782</v>
      </c>
      <c r="AD415" s="7">
        <f>100-(T$436-Tabell2[[#This Row],[Yrkesaktivandel-T]])*100/T$439</f>
        <v>46.220093034718801</v>
      </c>
      <c r="AE415" s="7">
        <f>100-(U$436-Tabell2[[#This Row],[Inntekt-T]])*100/U$439</f>
        <v>91.174810969416541</v>
      </c>
      <c r="AF415" s="7">
        <v>10</v>
      </c>
      <c r="AG415" s="7">
        <v>0</v>
      </c>
      <c r="AH415" s="7">
        <v>0.84259776248048013</v>
      </c>
      <c r="AI415" s="7">
        <v>15.213407069325539</v>
      </c>
      <c r="AJ415" s="7">
        <v>5</v>
      </c>
      <c r="AK415" s="7">
        <v>5</v>
      </c>
      <c r="AL415" s="7">
        <v>5.5314353878104789</v>
      </c>
      <c r="AM415" s="7">
        <v>4.6220093034718799</v>
      </c>
      <c r="AN415" s="7">
        <v>9.1174810969416544</v>
      </c>
      <c r="AO41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55.326930620030026</v>
      </c>
    </row>
    <row r="416" spans="1:41" x14ac:dyDescent="0.3">
      <c r="A416" s="2" t="s">
        <v>413</v>
      </c>
      <c r="B416">
        <f>'Rådata-K'!N415</f>
        <v>11</v>
      </c>
      <c r="C416" s="7">
        <f>'Rådata-K'!M415</f>
        <v>315.68333333300001</v>
      </c>
      <c r="D416" s="24">
        <f>'Rådata-K'!O415</f>
        <v>0.32958444040330609</v>
      </c>
      <c r="E416" s="24">
        <f>'Rådata-K'!P415</f>
        <v>0.30451215730793119</v>
      </c>
      <c r="F416" s="24">
        <f>'Rådata-K'!Q415</f>
        <v>-1.4009339559706513E-2</v>
      </c>
      <c r="G416" s="24">
        <f>'Rådata-K'!R415</f>
        <v>0.12584573748308525</v>
      </c>
      <c r="H416" s="24">
        <f>'Rådata-K'!S415</f>
        <v>0.12922868741542626</v>
      </c>
      <c r="I416" s="24">
        <f>'Rådata-K'!T415</f>
        <v>-6.760772659732539E-2</v>
      </c>
      <c r="J416" s="24">
        <f>'Rådata-K'!U415</f>
        <v>0.8101408450704225</v>
      </c>
      <c r="K416" s="24">
        <f>'Rådata-K'!L415</f>
        <v>305700</v>
      </c>
      <c r="L416" s="24">
        <f>Tabell2[[#This Row],[NIBR11]]</f>
        <v>11</v>
      </c>
      <c r="M416" s="24">
        <f>IF(Tabell2[[#This Row],[ReisetidOslo]]&lt;=C$434,C$434,IF(Tabell2[[#This Row],[ReisetidOslo]]&gt;=C$435,C$435,Tabell2[[#This Row],[ReisetidOslo]]))</f>
        <v>280.45666666669001</v>
      </c>
      <c r="N416" s="24">
        <f>IF(Tabell2[[#This Row],[Beftettland]]&lt;=D$434,D$434,IF(Tabell2[[#This Row],[Beftettland]]&gt;=D$435,D$435,Tabell2[[#This Row],[Beftettland]]))</f>
        <v>1.4025423756281519</v>
      </c>
      <c r="O416" s="24">
        <f>IF(Tabell2[[#This Row],[Beftettotal]]&lt;=E$434,E$434,IF(Tabell2[[#This Row],[Beftettotal]]&gt;=E$435,E$435,Tabell2[[#This Row],[Beftettotal]]))</f>
        <v>1.3180632767674032</v>
      </c>
      <c r="P416" s="24">
        <f>IF(Tabell2[[#This Row],[Befvekst10]]&lt;=F$434,F$434,IF(Tabell2[[#This Row],[Befvekst10]]&gt;=F$435,F$435,Tabell2[[#This Row],[Befvekst10]]))</f>
        <v>-1.4009339559706513E-2</v>
      </c>
      <c r="Q416" s="24">
        <f>IF(Tabell2[[#This Row],[Kvinneandel]]&lt;=G$434,G$434,IF(Tabell2[[#This Row],[Kvinneandel]]&gt;=G$435,G$435,Tabell2[[#This Row],[Kvinneandel]]))</f>
        <v>0.12584573748308525</v>
      </c>
      <c r="R416" s="24">
        <f>IF(Tabell2[[#This Row],[Eldreandel]]&lt;=H$434,H$434,IF(Tabell2[[#This Row],[Eldreandel]]&gt;=H$435,H$435,Tabell2[[#This Row],[Eldreandel]]))</f>
        <v>0.12922868741542626</v>
      </c>
      <c r="S416" s="24">
        <f>IF(Tabell2[[#This Row],[Sysselsettingsvekst10]]&lt;=I$434,I$434,IF(Tabell2[[#This Row],[Sysselsettingsvekst10]]&gt;=I$435,I$435,Tabell2[[#This Row],[Sysselsettingsvekst10]]))</f>
        <v>-6.760772659732539E-2</v>
      </c>
      <c r="T416" s="24">
        <f>IF(Tabell2[[#This Row],[Yrkesaktivandel]]&lt;=J$434,J$434,IF(Tabell2[[#This Row],[Yrkesaktivandel]]&gt;=J$435,J$435,Tabell2[[#This Row],[Yrkesaktivandel]]))</f>
        <v>0.8101408450704225</v>
      </c>
      <c r="U416" s="24">
        <f>IF(Tabell2[[#This Row],[Inntekt]]&lt;=K$434,K$434,IF(Tabell2[[#This Row],[Inntekt]]&gt;=K$435,K$435,Tabell2[[#This Row],[Inntekt]]))</f>
        <v>344410</v>
      </c>
      <c r="V416" s="7">
        <f>IF(Tabell2[[#This Row],[NIBR11-T]]&lt;=L$437,100,IF(Tabell2[[#This Row],[NIBR11-T]]&gt;=L$436,0,100*(L$436-Tabell2[[#This Row],[NIBR11-T]])/L$439))</f>
        <v>0</v>
      </c>
      <c r="W416" s="7">
        <f>(M$436-Tabell2[[#This Row],[ReisetidOslo-T]])*100/M$439</f>
        <v>0</v>
      </c>
      <c r="X416" s="7">
        <f>100-(N$436-Tabell2[[#This Row],[Beftettland-T]])*100/N$439</f>
        <v>0</v>
      </c>
      <c r="Y416" s="7">
        <f>100-(O$436-Tabell2[[#This Row],[Beftettotal-T]])*100/O$439</f>
        <v>0</v>
      </c>
      <c r="Z416" s="7">
        <f>100-(P$436-Tabell2[[#This Row],[Befvekst10-T]])*100/P$439</f>
        <v>23.093044025137544</v>
      </c>
      <c r="AA416" s="7">
        <f>100-(Q$436-Tabell2[[#This Row],[Kvinneandel-T]])*100/Q$439</f>
        <v>95.424868458059322</v>
      </c>
      <c r="AB416" s="7">
        <f>(R$436-Tabell2[[#This Row],[Eldreandel-T]])*100/R$439</f>
        <v>98.320410112869538</v>
      </c>
      <c r="AC416" s="7">
        <f>100-(S$436-Tabell2[[#This Row],[Sysselsettingsvekst10-T]])*100/S$439</f>
        <v>8.1465381377052069</v>
      </c>
      <c r="AD416" s="7">
        <f>100-(T$436-Tabell2[[#This Row],[Yrkesaktivandel-T]])*100/T$439</f>
        <v>7.9391956005947577</v>
      </c>
      <c r="AE416" s="7">
        <f>100-(U$436-Tabell2[[#This Row],[Inntekt-T]])*100/U$439</f>
        <v>0</v>
      </c>
      <c r="AF416" s="7">
        <v>0</v>
      </c>
      <c r="AG416" s="7">
        <v>0</v>
      </c>
      <c r="AH416" s="7">
        <v>0</v>
      </c>
      <c r="AI416" s="7">
        <v>4.6186088050275087</v>
      </c>
      <c r="AJ416" s="7">
        <v>4.7712434229029661</v>
      </c>
      <c r="AK416" s="7">
        <v>4.9160205056434769</v>
      </c>
      <c r="AL416" s="7">
        <v>0.81465381377052071</v>
      </c>
      <c r="AM416" s="7">
        <v>0.79391956005947584</v>
      </c>
      <c r="AN416" s="7">
        <v>0</v>
      </c>
      <c r="AO41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15.914446107403949</v>
      </c>
    </row>
    <row r="417" spans="1:41" x14ac:dyDescent="0.3">
      <c r="A417" s="2" t="s">
        <v>414</v>
      </c>
      <c r="B417">
        <f>'Rådata-K'!N416</f>
        <v>6</v>
      </c>
      <c r="C417" s="7">
        <f>'Rådata-K'!M416</f>
        <v>219.48333333332999</v>
      </c>
      <c r="D417" s="24">
        <f>'Rådata-K'!O416</f>
        <v>5.5018972059330808</v>
      </c>
      <c r="E417" s="24">
        <f>'Rådata-K'!P416</f>
        <v>5.2207729456049341</v>
      </c>
      <c r="F417" s="24">
        <f>'Rådata-K'!Q416</f>
        <v>0.1234278047962436</v>
      </c>
      <c r="G417" s="24">
        <f>'Rådata-K'!R416</f>
        <v>0.12792954172264517</v>
      </c>
      <c r="H417" s="24">
        <f>'Rådata-K'!S416</f>
        <v>0.11340000995173409</v>
      </c>
      <c r="I417" s="24">
        <f>'Rådata-K'!T416</f>
        <v>0.13704836334805748</v>
      </c>
      <c r="J417" s="24">
        <f>'Rådata-K'!U416</f>
        <v>0.83347400405131666</v>
      </c>
      <c r="K417" s="24">
        <f>'Rådata-K'!L416</f>
        <v>385400</v>
      </c>
      <c r="L417" s="24">
        <f>Tabell2[[#This Row],[NIBR11]]</f>
        <v>6</v>
      </c>
      <c r="M417" s="24">
        <f>IF(Tabell2[[#This Row],[ReisetidOslo]]&lt;=C$434,C$434,IF(Tabell2[[#This Row],[ReisetidOslo]]&gt;=C$435,C$435,Tabell2[[#This Row],[ReisetidOslo]]))</f>
        <v>219.48333333332999</v>
      </c>
      <c r="N417" s="24">
        <f>IF(Tabell2[[#This Row],[Beftettland]]&lt;=D$434,D$434,IF(Tabell2[[#This Row],[Beftettland]]&gt;=D$435,D$435,Tabell2[[#This Row],[Beftettland]]))</f>
        <v>5.5018972059330808</v>
      </c>
      <c r="O417" s="24">
        <f>IF(Tabell2[[#This Row],[Beftettotal]]&lt;=E$434,E$434,IF(Tabell2[[#This Row],[Beftettotal]]&gt;=E$435,E$435,Tabell2[[#This Row],[Beftettotal]]))</f>
        <v>5.2207729456049341</v>
      </c>
      <c r="P417" s="24">
        <f>IF(Tabell2[[#This Row],[Befvekst10]]&lt;=F$434,F$434,IF(Tabell2[[#This Row],[Befvekst10]]&gt;=F$435,F$435,Tabell2[[#This Row],[Befvekst10]]))</f>
        <v>0.1234278047962436</v>
      </c>
      <c r="Q417" s="24">
        <f>IF(Tabell2[[#This Row],[Kvinneandel]]&lt;=G$434,G$434,IF(Tabell2[[#This Row],[Kvinneandel]]&gt;=G$435,G$435,Tabell2[[#This Row],[Kvinneandel]]))</f>
        <v>0.12758728250318055</v>
      </c>
      <c r="R417" s="24">
        <f>IF(Tabell2[[#This Row],[Eldreandel]]&lt;=H$434,H$434,IF(Tabell2[[#This Row],[Eldreandel]]&gt;=H$435,H$435,Tabell2[[#This Row],[Eldreandel]]))</f>
        <v>0.12767243783057225</v>
      </c>
      <c r="S417" s="24">
        <f>IF(Tabell2[[#This Row],[Sysselsettingsvekst10]]&lt;=I$434,I$434,IF(Tabell2[[#This Row],[Sysselsettingsvekst10]]&gt;=I$435,I$435,Tabell2[[#This Row],[Sysselsettingsvekst10]]))</f>
        <v>0.13704836334805748</v>
      </c>
      <c r="T417" s="24">
        <f>IF(Tabell2[[#This Row],[Yrkesaktivandel]]&lt;=J$434,J$434,IF(Tabell2[[#This Row],[Yrkesaktivandel]]&gt;=J$435,J$435,Tabell2[[#This Row],[Yrkesaktivandel]]))</f>
        <v>0.83347400405131666</v>
      </c>
      <c r="U417" s="24">
        <f>IF(Tabell2[[#This Row],[Inntekt]]&lt;=K$434,K$434,IF(Tabell2[[#This Row],[Inntekt]]&gt;=K$435,K$435,Tabell2[[#This Row],[Inntekt]]))</f>
        <v>385400</v>
      </c>
      <c r="V417" s="7">
        <f>IF(Tabell2[[#This Row],[NIBR11-T]]&lt;=L$437,100,IF(Tabell2[[#This Row],[NIBR11-T]]&gt;=L$436,0,100*(L$436-Tabell2[[#This Row],[NIBR11-T]])/L$439))</f>
        <v>50</v>
      </c>
      <c r="W417" s="7">
        <f>(M$436-Tabell2[[#This Row],[ReisetidOslo-T]])*100/M$439</f>
        <v>26.752468007321578</v>
      </c>
      <c r="X417" s="7">
        <f>100-(N$436-Tabell2[[#This Row],[Beftettland-T]])*100/N$439</f>
        <v>3.0323081156160328</v>
      </c>
      <c r="Y417" s="7">
        <f>100-(O$436-Tabell2[[#This Row],[Beftettotal-T]])*100/O$439</f>
        <v>2.987284490335071</v>
      </c>
      <c r="Z417" s="7">
        <f>100-(P$436-Tabell2[[#This Row],[Befvekst10-T]])*100/P$439</f>
        <v>78.72224712138015</v>
      </c>
      <c r="AA417" s="7">
        <f>100-(Q$436-Tabell2[[#This Row],[Kvinneandel-T]])*100/Q$439</f>
        <v>100</v>
      </c>
      <c r="AB417" s="7">
        <f>(R$436-Tabell2[[#This Row],[Eldreandel-T]])*100/R$439</f>
        <v>100</v>
      </c>
      <c r="AC417" s="7">
        <f>100-(S$436-Tabell2[[#This Row],[Sysselsettingsvekst10-T]])*100/S$439</f>
        <v>74.936319316302175</v>
      </c>
      <c r="AD417" s="7">
        <f>100-(T$436-Tabell2[[#This Row],[Yrkesaktivandel-T]])*100/T$439</f>
        <v>24.395928487675889</v>
      </c>
      <c r="AE417" s="7">
        <f>100-(U$436-Tabell2[[#This Row],[Inntekt-T]])*100/U$439</f>
        <v>46.258887258774408</v>
      </c>
      <c r="AF417" s="7">
        <v>10</v>
      </c>
      <c r="AG417" s="7">
        <v>2.6752468007321579</v>
      </c>
      <c r="AH417" s="7">
        <v>0.29872844903350709</v>
      </c>
      <c r="AI417" s="7">
        <v>15.744449424276031</v>
      </c>
      <c r="AJ417" s="7">
        <v>5</v>
      </c>
      <c r="AK417" s="7">
        <v>5</v>
      </c>
      <c r="AL417" s="7">
        <v>7.493631931630218</v>
      </c>
      <c r="AM417" s="7">
        <v>2.4395928487675889</v>
      </c>
      <c r="AN417" s="7">
        <v>4.6258887258774406</v>
      </c>
      <c r="AO41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53.277538180316945</v>
      </c>
    </row>
    <row r="418" spans="1:41" x14ac:dyDescent="0.3">
      <c r="A418" s="2" t="s">
        <v>415</v>
      </c>
      <c r="B418">
        <f>'Rådata-K'!N417</f>
        <v>11</v>
      </c>
      <c r="C418" s="7">
        <f>'Rådata-K'!M417</f>
        <v>311.8</v>
      </c>
      <c r="D418" s="24">
        <f>'Rådata-K'!O417</f>
        <v>1.4174354999776431</v>
      </c>
      <c r="E418" s="24">
        <f>'Rådata-K'!P417</f>
        <v>1.3805217239827543</v>
      </c>
      <c r="F418" s="24">
        <f>'Rådata-K'!Q417</f>
        <v>-0.21599340478153339</v>
      </c>
      <c r="G418" s="24">
        <f>'Rådata-K'!R417</f>
        <v>8.0967402733964244E-2</v>
      </c>
      <c r="H418" s="24">
        <f>'Rådata-K'!S417</f>
        <v>0.26288117770767611</v>
      </c>
      <c r="I418" s="24">
        <f>'Rådata-K'!T417</f>
        <v>-0.15261958997722092</v>
      </c>
      <c r="J418" s="24">
        <f>'Rådata-K'!U417</f>
        <v>0.87622789783889976</v>
      </c>
      <c r="K418" s="24">
        <f>'Rådata-K'!L417</f>
        <v>335500</v>
      </c>
      <c r="L418" s="24">
        <f>Tabell2[[#This Row],[NIBR11]]</f>
        <v>11</v>
      </c>
      <c r="M418" s="24">
        <f>IF(Tabell2[[#This Row],[ReisetidOslo]]&lt;=C$434,C$434,IF(Tabell2[[#This Row],[ReisetidOslo]]&gt;=C$435,C$435,Tabell2[[#This Row],[ReisetidOslo]]))</f>
        <v>280.45666666669001</v>
      </c>
      <c r="N418" s="24">
        <f>IF(Tabell2[[#This Row],[Beftettland]]&lt;=D$434,D$434,IF(Tabell2[[#This Row],[Beftettland]]&gt;=D$435,D$435,Tabell2[[#This Row],[Beftettland]]))</f>
        <v>1.4174354999776431</v>
      </c>
      <c r="O418" s="24">
        <f>IF(Tabell2[[#This Row],[Beftettotal]]&lt;=E$434,E$434,IF(Tabell2[[#This Row],[Beftettotal]]&gt;=E$435,E$435,Tabell2[[#This Row],[Beftettotal]]))</f>
        <v>1.3805217239827543</v>
      </c>
      <c r="P418" s="24">
        <f>IF(Tabell2[[#This Row],[Befvekst10]]&lt;=F$434,F$434,IF(Tabell2[[#This Row],[Befvekst10]]&gt;=F$435,F$435,Tabell2[[#This Row],[Befvekst10]]))</f>
        <v>-7.1062862685144085E-2</v>
      </c>
      <c r="Q418" s="24">
        <f>IF(Tabell2[[#This Row],[Kvinneandel]]&lt;=G$434,G$434,IF(Tabell2[[#This Row],[Kvinneandel]]&gt;=G$435,G$435,Tabell2[[#This Row],[Kvinneandel]]))</f>
        <v>8.9521819157910881E-2</v>
      </c>
      <c r="R418" s="24">
        <f>IF(Tabell2[[#This Row],[Eldreandel]]&lt;=H$434,H$434,IF(Tabell2[[#This Row],[Eldreandel]]&gt;=H$435,H$435,Tabell2[[#This Row],[Eldreandel]]))</f>
        <v>0.22032896051974013</v>
      </c>
      <c r="S418" s="24">
        <f>IF(Tabell2[[#This Row],[Sysselsettingsvekst10]]&lt;=I$434,I$434,IF(Tabell2[[#This Row],[Sysselsettingsvekst10]]&gt;=I$435,I$435,Tabell2[[#This Row],[Sysselsettingsvekst10]]))</f>
        <v>-9.2570207570207563E-2</v>
      </c>
      <c r="T418" s="24">
        <f>IF(Tabell2[[#This Row],[Yrkesaktivandel]]&lt;=J$434,J$434,IF(Tabell2[[#This Row],[Yrkesaktivandel]]&gt;=J$435,J$435,Tabell2[[#This Row],[Yrkesaktivandel]]))</f>
        <v>0.87622789783889976</v>
      </c>
      <c r="U418" s="24">
        <f>IF(Tabell2[[#This Row],[Inntekt]]&lt;=K$434,K$434,IF(Tabell2[[#This Row],[Inntekt]]&gt;=K$435,K$435,Tabell2[[#This Row],[Inntekt]]))</f>
        <v>344410</v>
      </c>
      <c r="V418" s="7">
        <f>IF(Tabell2[[#This Row],[NIBR11-T]]&lt;=L$437,100,IF(Tabell2[[#This Row],[NIBR11-T]]&gt;=L$436,0,100*(L$436-Tabell2[[#This Row],[NIBR11-T]])/L$439))</f>
        <v>0</v>
      </c>
      <c r="W418" s="7">
        <f>(M$436-Tabell2[[#This Row],[ReisetidOslo-T]])*100/M$439</f>
        <v>0</v>
      </c>
      <c r="X418" s="7">
        <f>100-(N$436-Tabell2[[#This Row],[Beftettland-T]])*100/N$439</f>
        <v>1.1016499839925586E-2</v>
      </c>
      <c r="Y418" s="7">
        <f>100-(O$436-Tabell2[[#This Row],[Beftettotal-T]])*100/O$439</f>
        <v>4.7808104237603288E-2</v>
      </c>
      <c r="Z418" s="7">
        <f>100-(P$436-Tabell2[[#This Row],[Befvekst10-T]])*100/P$439</f>
        <v>0</v>
      </c>
      <c r="AA418" s="7">
        <f>100-(Q$436-Tabell2[[#This Row],[Kvinneandel-T]])*100/Q$439</f>
        <v>0</v>
      </c>
      <c r="AB418" s="7">
        <f>(R$436-Tabell2[[#This Row],[Eldreandel-T]])*100/R$439</f>
        <v>0</v>
      </c>
      <c r="AC418" s="7">
        <f>100-(S$436-Tabell2[[#This Row],[Sysselsettingsvekst10-T]])*100/S$439</f>
        <v>0</v>
      </c>
      <c r="AD418" s="7">
        <f>100-(T$436-Tabell2[[#This Row],[Yrkesaktivandel-T]])*100/T$439</f>
        <v>54.54998566103211</v>
      </c>
      <c r="AE418" s="7">
        <f>100-(U$436-Tabell2[[#This Row],[Inntekt-T]])*100/U$439</f>
        <v>0</v>
      </c>
      <c r="AF418" s="7">
        <v>0</v>
      </c>
      <c r="AG418" s="7">
        <v>0</v>
      </c>
      <c r="AH418" s="7">
        <v>4.7808104237603288E-3</v>
      </c>
      <c r="AI418" s="7">
        <v>0</v>
      </c>
      <c r="AJ418" s="7">
        <v>0</v>
      </c>
      <c r="AK418" s="7">
        <v>0</v>
      </c>
      <c r="AL418" s="7">
        <v>0</v>
      </c>
      <c r="AM418" s="7">
        <v>5.4549985661032112</v>
      </c>
      <c r="AN418" s="7">
        <v>0</v>
      </c>
      <c r="AO41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5.4597793765269715</v>
      </c>
    </row>
    <row r="419" spans="1:41" x14ac:dyDescent="0.3">
      <c r="A419" s="2" t="s">
        <v>416</v>
      </c>
      <c r="B419">
        <f>'Rådata-K'!N418</f>
        <v>11</v>
      </c>
      <c r="C419" s="7">
        <f>'Rådata-K'!M418</f>
        <v>280.55</v>
      </c>
      <c r="D419" s="24">
        <f>'Rådata-K'!O418</f>
        <v>1.9736349337128307</v>
      </c>
      <c r="E419" s="24">
        <f>'Rådata-K'!P418</f>
        <v>1.8971848225214201</v>
      </c>
      <c r="F419" s="24">
        <f>'Rådata-K'!Q418</f>
        <v>2.0329138431752103E-2</v>
      </c>
      <c r="G419" s="24">
        <f>'Rådata-K'!R418</f>
        <v>9.7722960151802651E-2</v>
      </c>
      <c r="H419" s="24">
        <f>'Rådata-K'!S418</f>
        <v>0.18121442125237192</v>
      </c>
      <c r="I419" s="24">
        <f>'Rådata-K'!T418</f>
        <v>4.9627791563275903E-3</v>
      </c>
      <c r="J419" s="24">
        <f>'Rådata-K'!U418</f>
        <v>0.73040752351097182</v>
      </c>
      <c r="K419" s="24">
        <f>'Rådata-K'!L418</f>
        <v>325700</v>
      </c>
      <c r="L419" s="24">
        <f>Tabell2[[#This Row],[NIBR11]]</f>
        <v>11</v>
      </c>
      <c r="M419" s="24">
        <f>IF(Tabell2[[#This Row],[ReisetidOslo]]&lt;=C$434,C$434,IF(Tabell2[[#This Row],[ReisetidOslo]]&gt;=C$435,C$435,Tabell2[[#This Row],[ReisetidOslo]]))</f>
        <v>280.45666666669001</v>
      </c>
      <c r="N419" s="24">
        <f>IF(Tabell2[[#This Row],[Beftettland]]&lt;=D$434,D$434,IF(Tabell2[[#This Row],[Beftettland]]&gt;=D$435,D$435,Tabell2[[#This Row],[Beftettland]]))</f>
        <v>1.9736349337128307</v>
      </c>
      <c r="O419" s="24">
        <f>IF(Tabell2[[#This Row],[Beftettotal]]&lt;=E$434,E$434,IF(Tabell2[[#This Row],[Beftettotal]]&gt;=E$435,E$435,Tabell2[[#This Row],[Beftettotal]]))</f>
        <v>1.8971848225214201</v>
      </c>
      <c r="P419" s="24">
        <f>IF(Tabell2[[#This Row],[Befvekst10]]&lt;=F$434,F$434,IF(Tabell2[[#This Row],[Befvekst10]]&gt;=F$435,F$435,Tabell2[[#This Row],[Befvekst10]]))</f>
        <v>2.0329138431752103E-2</v>
      </c>
      <c r="Q419" s="24">
        <f>IF(Tabell2[[#This Row],[Kvinneandel]]&lt;=G$434,G$434,IF(Tabell2[[#This Row],[Kvinneandel]]&gt;=G$435,G$435,Tabell2[[#This Row],[Kvinneandel]]))</f>
        <v>9.7722960151802651E-2</v>
      </c>
      <c r="R419" s="24">
        <f>IF(Tabell2[[#This Row],[Eldreandel]]&lt;=H$434,H$434,IF(Tabell2[[#This Row],[Eldreandel]]&gt;=H$435,H$435,Tabell2[[#This Row],[Eldreandel]]))</f>
        <v>0.18121442125237192</v>
      </c>
      <c r="S419" s="24">
        <f>IF(Tabell2[[#This Row],[Sysselsettingsvekst10]]&lt;=I$434,I$434,IF(Tabell2[[#This Row],[Sysselsettingsvekst10]]&gt;=I$435,I$435,Tabell2[[#This Row],[Sysselsettingsvekst10]]))</f>
        <v>4.9627791563275903E-3</v>
      </c>
      <c r="T419" s="24">
        <f>IF(Tabell2[[#This Row],[Yrkesaktivandel]]&lt;=J$434,J$434,IF(Tabell2[[#This Row],[Yrkesaktivandel]]&gt;=J$435,J$435,Tabell2[[#This Row],[Yrkesaktivandel]]))</f>
        <v>0.79888426611272945</v>
      </c>
      <c r="U419" s="24">
        <f>IF(Tabell2[[#This Row],[Inntekt]]&lt;=K$434,K$434,IF(Tabell2[[#This Row],[Inntekt]]&gt;=K$435,K$435,Tabell2[[#This Row],[Inntekt]]))</f>
        <v>344410</v>
      </c>
      <c r="V419" s="7">
        <f>IF(Tabell2[[#This Row],[NIBR11-T]]&lt;=L$437,100,IF(Tabell2[[#This Row],[NIBR11-T]]&gt;=L$436,0,100*(L$436-Tabell2[[#This Row],[NIBR11-T]])/L$439))</f>
        <v>0</v>
      </c>
      <c r="W419" s="7">
        <f>(M$436-Tabell2[[#This Row],[ReisetidOslo-T]])*100/M$439</f>
        <v>0</v>
      </c>
      <c r="X419" s="7">
        <f>100-(N$436-Tabell2[[#This Row],[Beftettland-T]])*100/N$439</f>
        <v>0.42243930333772539</v>
      </c>
      <c r="Y419" s="7">
        <f>100-(O$436-Tabell2[[#This Row],[Beftettotal-T]])*100/O$439</f>
        <v>0.44328196521090035</v>
      </c>
      <c r="Z419" s="7">
        <f>100-(P$436-Tabell2[[#This Row],[Befvekst10-T]])*100/P$439</f>
        <v>36.991922491757897</v>
      </c>
      <c r="AA419" s="7">
        <f>100-(Q$436-Tabell2[[#This Row],[Kvinneandel-T]])*100/Q$439</f>
        <v>21.544834275374484</v>
      </c>
      <c r="AB419" s="7">
        <f>(R$436-Tabell2[[#This Row],[Eldreandel-T]])*100/R$439</f>
        <v>42.214555578115757</v>
      </c>
      <c r="AC419" s="7">
        <f>100-(S$436-Tabell2[[#This Row],[Sysselsettingsvekst10-T]])*100/S$439</f>
        <v>31.830017093059624</v>
      </c>
      <c r="AD419" s="7">
        <f>100-(T$436-Tabell2[[#This Row],[Yrkesaktivandel-T]])*100/T$439</f>
        <v>0</v>
      </c>
      <c r="AE419" s="7">
        <f>100-(U$436-Tabell2[[#This Row],[Inntekt-T]])*100/U$439</f>
        <v>0</v>
      </c>
      <c r="AF419" s="7">
        <v>0</v>
      </c>
      <c r="AG419" s="7">
        <v>0</v>
      </c>
      <c r="AH419" s="7">
        <v>4.4328196521090039E-2</v>
      </c>
      <c r="AI419" s="7">
        <v>7.3983844983515796</v>
      </c>
      <c r="AJ419" s="7">
        <v>1.0772417137687242</v>
      </c>
      <c r="AK419" s="7">
        <v>2.1107277789057881</v>
      </c>
      <c r="AL419" s="7">
        <v>3.1830017093059624</v>
      </c>
      <c r="AM419" s="7">
        <v>0</v>
      </c>
      <c r="AN419" s="7">
        <v>0</v>
      </c>
      <c r="AO41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13.813683896853146</v>
      </c>
    </row>
    <row r="420" spans="1:41" x14ac:dyDescent="0.3">
      <c r="A420" s="2" t="s">
        <v>417</v>
      </c>
      <c r="B420">
        <f>'Rådata-K'!N419</f>
        <v>6</v>
      </c>
      <c r="C420" s="7">
        <f>'Rådata-K'!M419</f>
        <v>298.0833333333</v>
      </c>
      <c r="D420" s="24">
        <f>'Rådata-K'!O419</f>
        <v>0.59504987495328721</v>
      </c>
      <c r="E420" s="24">
        <f>'Rådata-K'!P419</f>
        <v>0.56119156965553141</v>
      </c>
      <c r="F420" s="24">
        <f>'Rådata-K'!Q419</f>
        <v>-3.2710280373831724E-2</v>
      </c>
      <c r="G420" s="24">
        <f>'Rådata-K'!R419</f>
        <v>8.1159420289855067E-2</v>
      </c>
      <c r="H420" s="24">
        <f>'Rådata-K'!S419</f>
        <v>0.24251207729468599</v>
      </c>
      <c r="I420" s="24">
        <f>'Rådata-K'!T419</f>
        <v>0.14714714714714705</v>
      </c>
      <c r="J420" s="24">
        <f>'Rådata-K'!U419</f>
        <v>0.85925925925925928</v>
      </c>
      <c r="K420" s="24">
        <f>'Rådata-K'!L419</f>
        <v>363900</v>
      </c>
      <c r="L420" s="24">
        <f>Tabell2[[#This Row],[NIBR11]]</f>
        <v>6</v>
      </c>
      <c r="M420" s="24">
        <f>IF(Tabell2[[#This Row],[ReisetidOslo]]&lt;=C$434,C$434,IF(Tabell2[[#This Row],[ReisetidOslo]]&gt;=C$435,C$435,Tabell2[[#This Row],[ReisetidOslo]]))</f>
        <v>280.45666666669001</v>
      </c>
      <c r="N420" s="24">
        <f>IF(Tabell2[[#This Row],[Beftettland]]&lt;=D$434,D$434,IF(Tabell2[[#This Row],[Beftettland]]&gt;=D$435,D$435,Tabell2[[#This Row],[Beftettland]]))</f>
        <v>1.4025423756281519</v>
      </c>
      <c r="O420" s="24">
        <f>IF(Tabell2[[#This Row],[Beftettotal]]&lt;=E$434,E$434,IF(Tabell2[[#This Row],[Beftettotal]]&gt;=E$435,E$435,Tabell2[[#This Row],[Beftettotal]]))</f>
        <v>1.3180632767674032</v>
      </c>
      <c r="P420" s="24">
        <f>IF(Tabell2[[#This Row],[Befvekst10]]&lt;=F$434,F$434,IF(Tabell2[[#This Row],[Befvekst10]]&gt;=F$435,F$435,Tabell2[[#This Row],[Befvekst10]]))</f>
        <v>-3.2710280373831724E-2</v>
      </c>
      <c r="Q420" s="24">
        <f>IF(Tabell2[[#This Row],[Kvinneandel]]&lt;=G$434,G$434,IF(Tabell2[[#This Row],[Kvinneandel]]&gt;=G$435,G$435,Tabell2[[#This Row],[Kvinneandel]]))</f>
        <v>8.9521819157910881E-2</v>
      </c>
      <c r="R420" s="24">
        <f>IF(Tabell2[[#This Row],[Eldreandel]]&lt;=H$434,H$434,IF(Tabell2[[#This Row],[Eldreandel]]&gt;=H$435,H$435,Tabell2[[#This Row],[Eldreandel]]))</f>
        <v>0.22032896051974013</v>
      </c>
      <c r="S420" s="24">
        <f>IF(Tabell2[[#This Row],[Sysselsettingsvekst10]]&lt;=I$434,I$434,IF(Tabell2[[#This Row],[Sysselsettingsvekst10]]&gt;=I$435,I$435,Tabell2[[#This Row],[Sysselsettingsvekst10]]))</f>
        <v>0.14714714714714705</v>
      </c>
      <c r="T420" s="24">
        <f>IF(Tabell2[[#This Row],[Yrkesaktivandel]]&lt;=J$434,J$434,IF(Tabell2[[#This Row],[Yrkesaktivandel]]&gt;=J$435,J$435,Tabell2[[#This Row],[Yrkesaktivandel]]))</f>
        <v>0.85925925925925928</v>
      </c>
      <c r="U420" s="24">
        <f>IF(Tabell2[[#This Row],[Inntekt]]&lt;=K$434,K$434,IF(Tabell2[[#This Row],[Inntekt]]&gt;=K$435,K$435,Tabell2[[#This Row],[Inntekt]]))</f>
        <v>363900</v>
      </c>
      <c r="V420" s="7">
        <f>IF(Tabell2[[#This Row],[NIBR11-T]]&lt;=L$437,100,IF(Tabell2[[#This Row],[NIBR11-T]]&gt;=L$436,0,100*(L$436-Tabell2[[#This Row],[NIBR11-T]])/L$439))</f>
        <v>50</v>
      </c>
      <c r="W420" s="7">
        <f>(M$436-Tabell2[[#This Row],[ReisetidOslo-T]])*100/M$439</f>
        <v>0</v>
      </c>
      <c r="X420" s="7">
        <f>100-(N$436-Tabell2[[#This Row],[Beftettland-T]])*100/N$439</f>
        <v>0</v>
      </c>
      <c r="Y420" s="7">
        <f>100-(O$436-Tabell2[[#This Row],[Beftettotal-T]])*100/O$439</f>
        <v>0</v>
      </c>
      <c r="Z420" s="7">
        <f>100-(P$436-Tabell2[[#This Row],[Befvekst10-T]])*100/P$439</f>
        <v>15.523631552877134</v>
      </c>
      <c r="AA420" s="7">
        <f>100-(Q$436-Tabell2[[#This Row],[Kvinneandel-T]])*100/Q$439</f>
        <v>0</v>
      </c>
      <c r="AB420" s="7">
        <f>(R$436-Tabell2[[#This Row],[Eldreandel-T]])*100/R$439</f>
        <v>0</v>
      </c>
      <c r="AC420" s="7">
        <f>100-(S$436-Tabell2[[#This Row],[Sysselsettingsvekst10-T]])*100/S$439</f>
        <v>78.23207054604157</v>
      </c>
      <c r="AD420" s="7">
        <f>100-(T$436-Tabell2[[#This Row],[Yrkesaktivandel-T]])*100/T$439</f>
        <v>42.582109695706556</v>
      </c>
      <c r="AE420" s="7">
        <f>100-(U$436-Tabell2[[#This Row],[Inntekt-T]])*100/U$439</f>
        <v>21.995260128653655</v>
      </c>
      <c r="AF420" s="7">
        <v>10</v>
      </c>
      <c r="AG420" s="7">
        <v>0</v>
      </c>
      <c r="AH420" s="7">
        <v>0</v>
      </c>
      <c r="AI420" s="7">
        <v>3.104726310575427</v>
      </c>
      <c r="AJ420" s="7">
        <v>0</v>
      </c>
      <c r="AK420" s="7">
        <v>0</v>
      </c>
      <c r="AL420" s="7">
        <v>7.8232070546041577</v>
      </c>
      <c r="AM420" s="7">
        <v>4.2582109695706558</v>
      </c>
      <c r="AN420" s="7">
        <v>2.1995260128653658</v>
      </c>
      <c r="AO42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27.385670347615605</v>
      </c>
    </row>
    <row r="421" spans="1:41" x14ac:dyDescent="0.3">
      <c r="A421" s="2" t="s">
        <v>418</v>
      </c>
      <c r="B421">
        <f>'Rådata-K'!N420</f>
        <v>11</v>
      </c>
      <c r="C421" s="7">
        <f>'Rådata-K'!M420</f>
        <v>361.16666666699996</v>
      </c>
      <c r="D421" s="24">
        <f>'Rådata-K'!O420</f>
        <v>1.1381839642525926</v>
      </c>
      <c r="E421" s="24">
        <f>'Rådata-K'!P420</f>
        <v>1.0697117501012485</v>
      </c>
      <c r="F421" s="24">
        <f>'Rådata-K'!Q420</f>
        <v>-0.11700581395348841</v>
      </c>
      <c r="G421" s="24">
        <f>'Rådata-K'!R420</f>
        <v>0.1037037037037037</v>
      </c>
      <c r="H421" s="24">
        <f>'Rådata-K'!S420</f>
        <v>0.21893004115226339</v>
      </c>
      <c r="I421" s="24">
        <f>'Rådata-K'!T420</f>
        <v>-0.18367346938775508</v>
      </c>
      <c r="J421" s="24">
        <f>'Rådata-K'!U420</f>
        <v>0.81129271916790491</v>
      </c>
      <c r="K421" s="24">
        <f>'Rådata-K'!L420</f>
        <v>358900</v>
      </c>
      <c r="L421" s="24">
        <f>Tabell2[[#This Row],[NIBR11]]</f>
        <v>11</v>
      </c>
      <c r="M421" s="24">
        <f>IF(Tabell2[[#This Row],[ReisetidOslo]]&lt;=C$434,C$434,IF(Tabell2[[#This Row],[ReisetidOslo]]&gt;=C$435,C$435,Tabell2[[#This Row],[ReisetidOslo]]))</f>
        <v>280.45666666669001</v>
      </c>
      <c r="N421" s="24">
        <f>IF(Tabell2[[#This Row],[Beftettland]]&lt;=D$434,D$434,IF(Tabell2[[#This Row],[Beftettland]]&gt;=D$435,D$435,Tabell2[[#This Row],[Beftettland]]))</f>
        <v>1.4025423756281519</v>
      </c>
      <c r="O421" s="24">
        <f>IF(Tabell2[[#This Row],[Beftettotal]]&lt;=E$434,E$434,IF(Tabell2[[#This Row],[Beftettotal]]&gt;=E$435,E$435,Tabell2[[#This Row],[Beftettotal]]))</f>
        <v>1.3180632767674032</v>
      </c>
      <c r="P421" s="24">
        <f>IF(Tabell2[[#This Row],[Befvekst10]]&lt;=F$434,F$434,IF(Tabell2[[#This Row],[Befvekst10]]&gt;=F$435,F$435,Tabell2[[#This Row],[Befvekst10]]))</f>
        <v>-7.1062862685144085E-2</v>
      </c>
      <c r="Q421" s="24">
        <f>IF(Tabell2[[#This Row],[Kvinneandel]]&lt;=G$434,G$434,IF(Tabell2[[#This Row],[Kvinneandel]]&gt;=G$435,G$435,Tabell2[[#This Row],[Kvinneandel]]))</f>
        <v>0.1037037037037037</v>
      </c>
      <c r="R421" s="24">
        <f>IF(Tabell2[[#This Row],[Eldreandel]]&lt;=H$434,H$434,IF(Tabell2[[#This Row],[Eldreandel]]&gt;=H$435,H$435,Tabell2[[#This Row],[Eldreandel]]))</f>
        <v>0.21893004115226339</v>
      </c>
      <c r="S421" s="24">
        <f>IF(Tabell2[[#This Row],[Sysselsettingsvekst10]]&lt;=I$434,I$434,IF(Tabell2[[#This Row],[Sysselsettingsvekst10]]&gt;=I$435,I$435,Tabell2[[#This Row],[Sysselsettingsvekst10]]))</f>
        <v>-9.2570207570207563E-2</v>
      </c>
      <c r="T421" s="24">
        <f>IF(Tabell2[[#This Row],[Yrkesaktivandel]]&lt;=J$434,J$434,IF(Tabell2[[#This Row],[Yrkesaktivandel]]&gt;=J$435,J$435,Tabell2[[#This Row],[Yrkesaktivandel]]))</f>
        <v>0.81129271916790491</v>
      </c>
      <c r="U421" s="24">
        <f>IF(Tabell2[[#This Row],[Inntekt]]&lt;=K$434,K$434,IF(Tabell2[[#This Row],[Inntekt]]&gt;=K$435,K$435,Tabell2[[#This Row],[Inntekt]]))</f>
        <v>358900</v>
      </c>
      <c r="V421" s="7">
        <f>IF(Tabell2[[#This Row],[NIBR11-T]]&lt;=L$437,100,IF(Tabell2[[#This Row],[NIBR11-T]]&gt;=L$436,0,100*(L$436-Tabell2[[#This Row],[NIBR11-T]])/L$439))</f>
        <v>0</v>
      </c>
      <c r="W421" s="7">
        <f>(M$436-Tabell2[[#This Row],[ReisetidOslo-T]])*100/M$439</f>
        <v>0</v>
      </c>
      <c r="X421" s="7">
        <f>100-(N$436-Tabell2[[#This Row],[Beftettland-T]])*100/N$439</f>
        <v>0</v>
      </c>
      <c r="Y421" s="7">
        <f>100-(O$436-Tabell2[[#This Row],[Beftettotal-T]])*100/O$439</f>
        <v>0</v>
      </c>
      <c r="Z421" s="7">
        <f>100-(P$436-Tabell2[[#This Row],[Befvekst10-T]])*100/P$439</f>
        <v>0</v>
      </c>
      <c r="AA421" s="7">
        <f>100-(Q$436-Tabell2[[#This Row],[Kvinneandel-T]])*100/Q$439</f>
        <v>37.256566187457629</v>
      </c>
      <c r="AB421" s="7">
        <f>(R$436-Tabell2[[#This Row],[Eldreandel-T]])*100/R$439</f>
        <v>1.5097904895154071</v>
      </c>
      <c r="AC421" s="7">
        <f>100-(S$436-Tabell2[[#This Row],[Sysselsettingsvekst10-T]])*100/S$439</f>
        <v>0</v>
      </c>
      <c r="AD421" s="7">
        <f>100-(T$436-Tabell2[[#This Row],[Yrkesaktivandel-T]])*100/T$439</f>
        <v>8.7516052857701396</v>
      </c>
      <c r="AE421" s="7">
        <f>100-(U$436-Tabell2[[#This Row],[Inntekt-T]])*100/U$439</f>
        <v>16.352556144904639</v>
      </c>
      <c r="AF421" s="7">
        <v>0</v>
      </c>
      <c r="AG421" s="7">
        <v>0</v>
      </c>
      <c r="AH421" s="7">
        <v>0</v>
      </c>
      <c r="AI421" s="7">
        <v>0</v>
      </c>
      <c r="AJ421" s="7">
        <v>1.8628283093728815</v>
      </c>
      <c r="AK421" s="7">
        <v>7.5489524475770356E-2</v>
      </c>
      <c r="AL421" s="7">
        <v>0</v>
      </c>
      <c r="AM421" s="7">
        <v>0.87516052857701399</v>
      </c>
      <c r="AN421" s="7">
        <v>1.635255614490464</v>
      </c>
      <c r="AO42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4.44873397691613</v>
      </c>
    </row>
    <row r="422" spans="1:41" x14ac:dyDescent="0.3">
      <c r="A422" s="2" t="s">
        <v>419</v>
      </c>
      <c r="B422">
        <f>'Rådata-K'!N421</f>
        <v>9</v>
      </c>
      <c r="C422" s="7">
        <f>'Rådata-K'!M421</f>
        <v>331.65</v>
      </c>
      <c r="D422" s="24">
        <f>'Rådata-K'!O421</f>
        <v>3.6743346156865822</v>
      </c>
      <c r="E422" s="24">
        <f>'Rådata-K'!P421</f>
        <v>3.5389817325454525</v>
      </c>
      <c r="F422" s="24">
        <f>'Rådata-K'!Q421</f>
        <v>-1.6216216216216162E-2</v>
      </c>
      <c r="G422" s="24">
        <f>'Rådata-K'!R421</f>
        <v>0.10653235653235653</v>
      </c>
      <c r="H422" s="24">
        <f>'Rådata-K'!S421</f>
        <v>0.16422466422466422</v>
      </c>
      <c r="I422" s="24">
        <f>'Rådata-K'!T421</f>
        <v>5.8321479374110918E-2</v>
      </c>
      <c r="J422" s="24">
        <f>'Rådata-K'!U421</f>
        <v>0.81559917355371903</v>
      </c>
      <c r="K422" s="24">
        <f>'Rådata-K'!L421</f>
        <v>376200</v>
      </c>
      <c r="L422" s="24">
        <f>Tabell2[[#This Row],[NIBR11]]</f>
        <v>9</v>
      </c>
      <c r="M422" s="24">
        <f>IF(Tabell2[[#This Row],[ReisetidOslo]]&lt;=C$434,C$434,IF(Tabell2[[#This Row],[ReisetidOslo]]&gt;=C$435,C$435,Tabell2[[#This Row],[ReisetidOslo]]))</f>
        <v>280.45666666669001</v>
      </c>
      <c r="N422" s="24">
        <f>IF(Tabell2[[#This Row],[Beftettland]]&lt;=D$434,D$434,IF(Tabell2[[#This Row],[Beftettland]]&gt;=D$435,D$435,Tabell2[[#This Row],[Beftettland]]))</f>
        <v>3.6743346156865822</v>
      </c>
      <c r="O422" s="24">
        <f>IF(Tabell2[[#This Row],[Beftettotal]]&lt;=E$434,E$434,IF(Tabell2[[#This Row],[Beftettotal]]&gt;=E$435,E$435,Tabell2[[#This Row],[Beftettotal]]))</f>
        <v>3.5389817325454525</v>
      </c>
      <c r="P422" s="24">
        <f>IF(Tabell2[[#This Row],[Befvekst10]]&lt;=F$434,F$434,IF(Tabell2[[#This Row],[Befvekst10]]&gt;=F$435,F$435,Tabell2[[#This Row],[Befvekst10]]))</f>
        <v>-1.6216216216216162E-2</v>
      </c>
      <c r="Q422" s="24">
        <f>IF(Tabell2[[#This Row],[Kvinneandel]]&lt;=G$434,G$434,IF(Tabell2[[#This Row],[Kvinneandel]]&gt;=G$435,G$435,Tabell2[[#This Row],[Kvinneandel]]))</f>
        <v>0.10653235653235653</v>
      </c>
      <c r="R422" s="24">
        <f>IF(Tabell2[[#This Row],[Eldreandel]]&lt;=H$434,H$434,IF(Tabell2[[#This Row],[Eldreandel]]&gt;=H$435,H$435,Tabell2[[#This Row],[Eldreandel]]))</f>
        <v>0.16422466422466422</v>
      </c>
      <c r="S422" s="24">
        <f>IF(Tabell2[[#This Row],[Sysselsettingsvekst10]]&lt;=I$434,I$434,IF(Tabell2[[#This Row],[Sysselsettingsvekst10]]&gt;=I$435,I$435,Tabell2[[#This Row],[Sysselsettingsvekst10]]))</f>
        <v>5.8321479374110918E-2</v>
      </c>
      <c r="T422" s="24">
        <f>IF(Tabell2[[#This Row],[Yrkesaktivandel]]&lt;=J$434,J$434,IF(Tabell2[[#This Row],[Yrkesaktivandel]]&gt;=J$435,J$435,Tabell2[[#This Row],[Yrkesaktivandel]]))</f>
        <v>0.81559917355371903</v>
      </c>
      <c r="U422" s="24">
        <f>IF(Tabell2[[#This Row],[Inntekt]]&lt;=K$434,K$434,IF(Tabell2[[#This Row],[Inntekt]]&gt;=K$435,K$435,Tabell2[[#This Row],[Inntekt]]))</f>
        <v>376200</v>
      </c>
      <c r="V422" s="7">
        <f>IF(Tabell2[[#This Row],[NIBR11-T]]&lt;=L$437,100,IF(Tabell2[[#This Row],[NIBR11-T]]&gt;=L$436,0,100*(L$436-Tabell2[[#This Row],[NIBR11-T]])/L$439))</f>
        <v>20</v>
      </c>
      <c r="W422" s="7">
        <f>(M$436-Tabell2[[#This Row],[ReisetidOslo-T]])*100/M$439</f>
        <v>0</v>
      </c>
      <c r="X422" s="7">
        <f>100-(N$436-Tabell2[[#This Row],[Beftettland-T]])*100/N$439</f>
        <v>1.6804532253701723</v>
      </c>
      <c r="Y422" s="7">
        <f>100-(O$436-Tabell2[[#This Row],[Beftettotal-T]])*100/O$439</f>
        <v>1.6999766368019067</v>
      </c>
      <c r="Z422" s="7">
        <f>100-(P$436-Tabell2[[#This Row],[Befvekst10-T]])*100/P$439</f>
        <v>22.199786308610953</v>
      </c>
      <c r="AA422" s="7">
        <f>100-(Q$436-Tabell2[[#This Row],[Kvinneandel-T]])*100/Q$439</f>
        <v>44.687587853989747</v>
      </c>
      <c r="AB422" s="7">
        <f>(R$436-Tabell2[[#This Row],[Eldreandel-T]])*100/R$439</f>
        <v>60.550832976203246</v>
      </c>
      <c r="AC422" s="7">
        <f>100-(S$436-Tabell2[[#This Row],[Sysselsettingsvekst10-T]])*100/S$439</f>
        <v>49.243698320289113</v>
      </c>
      <c r="AD422" s="7">
        <f>100-(T$436-Tabell2[[#This Row],[Yrkesaktivandel-T]])*100/T$439</f>
        <v>11.78892096067608</v>
      </c>
      <c r="AE422" s="7">
        <f>100-(U$436-Tabell2[[#This Row],[Inntekt-T]])*100/U$439</f>
        <v>35.876311928676216</v>
      </c>
      <c r="AF422" s="7">
        <v>4</v>
      </c>
      <c r="AG422" s="7">
        <v>0</v>
      </c>
      <c r="AH422" s="7">
        <v>0.16999766368019067</v>
      </c>
      <c r="AI422" s="7">
        <v>4.4399572617221912</v>
      </c>
      <c r="AJ422" s="7">
        <v>2.2343793926994873</v>
      </c>
      <c r="AK422" s="7">
        <v>3.0275416488101623</v>
      </c>
      <c r="AL422" s="7">
        <v>4.924369832028912</v>
      </c>
      <c r="AM422" s="7">
        <v>1.1788920960676081</v>
      </c>
      <c r="AN422" s="7">
        <v>3.5876311928676219</v>
      </c>
      <c r="AO422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23.562769087876173</v>
      </c>
    </row>
    <row r="423" spans="1:41" x14ac:dyDescent="0.3">
      <c r="A423" s="2" t="s">
        <v>420</v>
      </c>
      <c r="B423">
        <f>'Rådata-K'!N422</f>
        <v>9</v>
      </c>
      <c r="C423" s="7">
        <f>'Rådata-K'!M422</f>
        <v>281.73333333332999</v>
      </c>
      <c r="D423" s="24">
        <f>'Rådata-K'!O422</f>
        <v>0.85728139647648294</v>
      </c>
      <c r="E423" s="24">
        <f>'Rådata-K'!P422</f>
        <v>0.81640527195038359</v>
      </c>
      <c r="F423" s="24">
        <f>'Rådata-K'!Q422</f>
        <v>-5.7792515395547084E-2</v>
      </c>
      <c r="G423" s="24">
        <f>'Rådata-K'!R422</f>
        <v>0.10482654600301659</v>
      </c>
      <c r="H423" s="24">
        <f>'Rådata-K'!S422</f>
        <v>0.167420814479638</v>
      </c>
      <c r="I423" s="24">
        <f>'Rådata-K'!T422</f>
        <v>-2.3404255319148914E-2</v>
      </c>
      <c r="J423" s="24">
        <f>'Rådata-K'!U422</f>
        <v>0.82030586236193714</v>
      </c>
      <c r="K423" s="24">
        <f>'Rådata-K'!L422</f>
        <v>372000</v>
      </c>
      <c r="L423" s="24">
        <f>Tabell2[[#This Row],[NIBR11]]</f>
        <v>9</v>
      </c>
      <c r="M423" s="24">
        <f>IF(Tabell2[[#This Row],[ReisetidOslo]]&lt;=C$434,C$434,IF(Tabell2[[#This Row],[ReisetidOslo]]&gt;=C$435,C$435,Tabell2[[#This Row],[ReisetidOslo]]))</f>
        <v>280.45666666669001</v>
      </c>
      <c r="N423" s="24">
        <f>IF(Tabell2[[#This Row],[Beftettland]]&lt;=D$434,D$434,IF(Tabell2[[#This Row],[Beftettland]]&gt;=D$435,D$435,Tabell2[[#This Row],[Beftettland]]))</f>
        <v>1.4025423756281519</v>
      </c>
      <c r="O423" s="24">
        <f>IF(Tabell2[[#This Row],[Beftettotal]]&lt;=E$434,E$434,IF(Tabell2[[#This Row],[Beftettotal]]&gt;=E$435,E$435,Tabell2[[#This Row],[Beftettotal]]))</f>
        <v>1.3180632767674032</v>
      </c>
      <c r="P423" s="24">
        <f>IF(Tabell2[[#This Row],[Befvekst10]]&lt;=F$434,F$434,IF(Tabell2[[#This Row],[Befvekst10]]&gt;=F$435,F$435,Tabell2[[#This Row],[Befvekst10]]))</f>
        <v>-5.7792515395547084E-2</v>
      </c>
      <c r="Q423" s="24">
        <f>IF(Tabell2[[#This Row],[Kvinneandel]]&lt;=G$434,G$434,IF(Tabell2[[#This Row],[Kvinneandel]]&gt;=G$435,G$435,Tabell2[[#This Row],[Kvinneandel]]))</f>
        <v>0.10482654600301659</v>
      </c>
      <c r="R423" s="24">
        <f>IF(Tabell2[[#This Row],[Eldreandel]]&lt;=H$434,H$434,IF(Tabell2[[#This Row],[Eldreandel]]&gt;=H$435,H$435,Tabell2[[#This Row],[Eldreandel]]))</f>
        <v>0.167420814479638</v>
      </c>
      <c r="S423" s="24">
        <f>IF(Tabell2[[#This Row],[Sysselsettingsvekst10]]&lt;=I$434,I$434,IF(Tabell2[[#This Row],[Sysselsettingsvekst10]]&gt;=I$435,I$435,Tabell2[[#This Row],[Sysselsettingsvekst10]]))</f>
        <v>-2.3404255319148914E-2</v>
      </c>
      <c r="T423" s="24">
        <f>IF(Tabell2[[#This Row],[Yrkesaktivandel]]&lt;=J$434,J$434,IF(Tabell2[[#This Row],[Yrkesaktivandel]]&gt;=J$435,J$435,Tabell2[[#This Row],[Yrkesaktivandel]]))</f>
        <v>0.82030586236193714</v>
      </c>
      <c r="U423" s="24">
        <f>IF(Tabell2[[#This Row],[Inntekt]]&lt;=K$434,K$434,IF(Tabell2[[#This Row],[Inntekt]]&gt;=K$435,K$435,Tabell2[[#This Row],[Inntekt]]))</f>
        <v>372000</v>
      </c>
      <c r="V423" s="7">
        <f>IF(Tabell2[[#This Row],[NIBR11-T]]&lt;=L$437,100,IF(Tabell2[[#This Row],[NIBR11-T]]&gt;=L$436,0,100*(L$436-Tabell2[[#This Row],[NIBR11-T]])/L$439))</f>
        <v>20</v>
      </c>
      <c r="W423" s="7">
        <f>(M$436-Tabell2[[#This Row],[ReisetidOslo-T]])*100/M$439</f>
        <v>0</v>
      </c>
      <c r="X423" s="7">
        <f>100-(N$436-Tabell2[[#This Row],[Beftettland-T]])*100/N$439</f>
        <v>0</v>
      </c>
      <c r="Y423" s="7">
        <f>100-(O$436-Tabell2[[#This Row],[Beftettotal-T]])*100/O$439</f>
        <v>0</v>
      </c>
      <c r="Z423" s="7">
        <f>100-(P$436-Tabell2[[#This Row],[Befvekst10-T]])*100/P$439</f>
        <v>5.3713197257558107</v>
      </c>
      <c r="AA423" s="7">
        <f>100-(Q$436-Tabell2[[#This Row],[Kvinneandel-T]])*100/Q$439</f>
        <v>40.20633272288174</v>
      </c>
      <c r="AB423" s="7">
        <f>(R$436-Tabell2[[#This Row],[Eldreandel-T]])*100/R$439</f>
        <v>57.101372363812466</v>
      </c>
      <c r="AC423" s="7">
        <f>100-(S$436-Tabell2[[#This Row],[Sysselsettingsvekst10-T]])*100/S$439</f>
        <v>22.57239849100182</v>
      </c>
      <c r="AD423" s="7">
        <f>100-(T$436-Tabell2[[#This Row],[Yrkesaktivandel-T]])*100/T$439</f>
        <v>15.108519501228756</v>
      </c>
      <c r="AE423" s="7">
        <f>100-(U$436-Tabell2[[#This Row],[Inntekt-T]])*100/U$439</f>
        <v>31.136440582327054</v>
      </c>
      <c r="AF423" s="7">
        <v>4</v>
      </c>
      <c r="AG423" s="7">
        <v>0</v>
      </c>
      <c r="AH423" s="7">
        <v>0</v>
      </c>
      <c r="AI423" s="7">
        <v>1.0742639451511622</v>
      </c>
      <c r="AJ423" s="7">
        <v>2.0103166361440872</v>
      </c>
      <c r="AK423" s="7">
        <v>2.8550686181906233</v>
      </c>
      <c r="AL423" s="7">
        <v>2.2572398491001819</v>
      </c>
      <c r="AM423" s="7">
        <v>1.5108519501228757</v>
      </c>
      <c r="AN423" s="7">
        <v>3.1136440582327056</v>
      </c>
      <c r="AO423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16.821385056941637</v>
      </c>
    </row>
    <row r="424" spans="1:41" x14ac:dyDescent="0.3">
      <c r="A424" s="2" t="s">
        <v>421</v>
      </c>
      <c r="B424">
        <f>'Rådata-K'!N423</f>
        <v>11</v>
      </c>
      <c r="C424" s="7">
        <f>'Rådata-K'!M423</f>
        <v>335.0833333333</v>
      </c>
      <c r="D424" s="24">
        <f>'Rådata-K'!O423</f>
        <v>0.5121452127475784</v>
      </c>
      <c r="E424" s="24">
        <f>'Rådata-K'!P423</f>
        <v>0.48927644669399134</v>
      </c>
      <c r="F424" s="24">
        <f>'Rådata-K'!Q423</f>
        <v>-7.6497057805469004E-2</v>
      </c>
      <c r="G424" s="24">
        <f>'Rådata-K'!R423</f>
        <v>0.11431784107946028</v>
      </c>
      <c r="H424" s="24">
        <f>'Rådata-K'!S423</f>
        <v>0.14767616191904048</v>
      </c>
      <c r="I424" s="24">
        <f>'Rådata-K'!T423</f>
        <v>5.007824726134591E-2</v>
      </c>
      <c r="J424" s="24">
        <f>'Rådata-K'!U423</f>
        <v>0.83655645664379286</v>
      </c>
      <c r="K424" s="24">
        <f>'Rådata-K'!L423</f>
        <v>339400</v>
      </c>
      <c r="L424" s="24">
        <f>Tabell2[[#This Row],[NIBR11]]</f>
        <v>11</v>
      </c>
      <c r="M424" s="24">
        <f>IF(Tabell2[[#This Row],[ReisetidOslo]]&lt;=C$434,C$434,IF(Tabell2[[#This Row],[ReisetidOslo]]&gt;=C$435,C$435,Tabell2[[#This Row],[ReisetidOslo]]))</f>
        <v>280.45666666669001</v>
      </c>
      <c r="N424" s="24">
        <f>IF(Tabell2[[#This Row],[Beftettland]]&lt;=D$434,D$434,IF(Tabell2[[#This Row],[Beftettland]]&gt;=D$435,D$435,Tabell2[[#This Row],[Beftettland]]))</f>
        <v>1.4025423756281519</v>
      </c>
      <c r="O424" s="24">
        <f>IF(Tabell2[[#This Row],[Beftettotal]]&lt;=E$434,E$434,IF(Tabell2[[#This Row],[Beftettotal]]&gt;=E$435,E$435,Tabell2[[#This Row],[Beftettotal]]))</f>
        <v>1.3180632767674032</v>
      </c>
      <c r="P424" s="24">
        <f>IF(Tabell2[[#This Row],[Befvekst10]]&lt;=F$434,F$434,IF(Tabell2[[#This Row],[Befvekst10]]&gt;=F$435,F$435,Tabell2[[#This Row],[Befvekst10]]))</f>
        <v>-7.1062862685144085E-2</v>
      </c>
      <c r="Q424" s="24">
        <f>IF(Tabell2[[#This Row],[Kvinneandel]]&lt;=G$434,G$434,IF(Tabell2[[#This Row],[Kvinneandel]]&gt;=G$435,G$435,Tabell2[[#This Row],[Kvinneandel]]))</f>
        <v>0.11431784107946028</v>
      </c>
      <c r="R424" s="24">
        <f>IF(Tabell2[[#This Row],[Eldreandel]]&lt;=H$434,H$434,IF(Tabell2[[#This Row],[Eldreandel]]&gt;=H$435,H$435,Tabell2[[#This Row],[Eldreandel]]))</f>
        <v>0.14767616191904048</v>
      </c>
      <c r="S424" s="24">
        <f>IF(Tabell2[[#This Row],[Sysselsettingsvekst10]]&lt;=I$434,I$434,IF(Tabell2[[#This Row],[Sysselsettingsvekst10]]&gt;=I$435,I$435,Tabell2[[#This Row],[Sysselsettingsvekst10]]))</f>
        <v>5.007824726134591E-2</v>
      </c>
      <c r="T424" s="24">
        <f>IF(Tabell2[[#This Row],[Yrkesaktivandel]]&lt;=J$434,J$434,IF(Tabell2[[#This Row],[Yrkesaktivandel]]&gt;=J$435,J$435,Tabell2[[#This Row],[Yrkesaktivandel]]))</f>
        <v>0.83655645664379286</v>
      </c>
      <c r="U424" s="24">
        <f>IF(Tabell2[[#This Row],[Inntekt]]&lt;=K$434,K$434,IF(Tabell2[[#This Row],[Inntekt]]&gt;=K$435,K$435,Tabell2[[#This Row],[Inntekt]]))</f>
        <v>344410</v>
      </c>
      <c r="V424" s="7">
        <f>IF(Tabell2[[#This Row],[NIBR11-T]]&lt;=L$437,100,IF(Tabell2[[#This Row],[NIBR11-T]]&gt;=L$436,0,100*(L$436-Tabell2[[#This Row],[NIBR11-T]])/L$439))</f>
        <v>0</v>
      </c>
      <c r="W424" s="7">
        <f>(M$436-Tabell2[[#This Row],[ReisetidOslo-T]])*100/M$439</f>
        <v>0</v>
      </c>
      <c r="X424" s="7">
        <f>100-(N$436-Tabell2[[#This Row],[Beftettland-T]])*100/N$439</f>
        <v>0</v>
      </c>
      <c r="Y424" s="7">
        <f>100-(O$436-Tabell2[[#This Row],[Beftettotal-T]])*100/O$439</f>
        <v>0</v>
      </c>
      <c r="Z424" s="7">
        <f>100-(P$436-Tabell2[[#This Row],[Befvekst10-T]])*100/P$439</f>
        <v>0</v>
      </c>
      <c r="AA424" s="7">
        <f>100-(Q$436-Tabell2[[#This Row],[Kvinneandel-T]])*100/Q$439</f>
        <v>65.140470501144591</v>
      </c>
      <c r="AB424" s="7">
        <f>(R$436-Tabell2[[#This Row],[Eldreandel-T]])*100/R$439</f>
        <v>78.410884082522571</v>
      </c>
      <c r="AC424" s="7">
        <f>100-(S$436-Tabell2[[#This Row],[Sysselsettingsvekst10-T]])*100/S$439</f>
        <v>46.553508797158436</v>
      </c>
      <c r="AD424" s="7">
        <f>100-(T$436-Tabell2[[#This Row],[Yrkesaktivandel-T]])*100/T$439</f>
        <v>26.569963259093171</v>
      </c>
      <c r="AE424" s="7">
        <f>100-(U$436-Tabell2[[#This Row],[Inntekt-T]])*100/U$439</f>
        <v>0</v>
      </c>
      <c r="AF424" s="7">
        <v>0</v>
      </c>
      <c r="AG424" s="7">
        <v>0</v>
      </c>
      <c r="AH424" s="7">
        <v>0</v>
      </c>
      <c r="AI424" s="7">
        <v>0</v>
      </c>
      <c r="AJ424" s="7">
        <v>3.2570235250572299</v>
      </c>
      <c r="AK424" s="7">
        <v>3.9205442041261289</v>
      </c>
      <c r="AL424" s="7">
        <v>4.6553508797158436</v>
      </c>
      <c r="AM424" s="7">
        <v>2.6569963259093172</v>
      </c>
      <c r="AN424" s="7">
        <v>0</v>
      </c>
      <c r="AO424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14.489914934808519</v>
      </c>
    </row>
    <row r="425" spans="1:41" x14ac:dyDescent="0.3">
      <c r="A425" s="2" t="s">
        <v>422</v>
      </c>
      <c r="B425">
        <f>'Rådata-K'!N424</f>
        <v>11</v>
      </c>
      <c r="C425" s="7">
        <f>'Rådata-K'!M424</f>
        <v>386.06666666670003</v>
      </c>
      <c r="D425" s="24">
        <f>'Rådata-K'!O424</f>
        <v>0.40775665775665776</v>
      </c>
      <c r="E425" s="24">
        <f>'Rådata-K'!P424</f>
        <v>0.38098982196386083</v>
      </c>
      <c r="F425" s="24">
        <f>'Rådata-K'!Q424</f>
        <v>-5.248023005032354E-2</v>
      </c>
      <c r="G425" s="24">
        <f>'Rådata-K'!R424</f>
        <v>9.028831562974203E-2</v>
      </c>
      <c r="H425" s="24">
        <f>'Rådata-K'!S424</f>
        <v>0.17981790591805766</v>
      </c>
      <c r="I425" s="24">
        <f>'Rådata-K'!T424</f>
        <v>-3.7433155080213942E-2</v>
      </c>
      <c r="J425" s="24">
        <f>'Rådata-K'!U424</f>
        <v>0.7931034482758621</v>
      </c>
      <c r="K425" s="24">
        <f>'Rådata-K'!L424</f>
        <v>343400</v>
      </c>
      <c r="L425" s="24">
        <f>Tabell2[[#This Row],[NIBR11]]</f>
        <v>11</v>
      </c>
      <c r="M425" s="24">
        <f>IF(Tabell2[[#This Row],[ReisetidOslo]]&lt;=C$434,C$434,IF(Tabell2[[#This Row],[ReisetidOslo]]&gt;=C$435,C$435,Tabell2[[#This Row],[ReisetidOslo]]))</f>
        <v>280.45666666669001</v>
      </c>
      <c r="N425" s="24">
        <f>IF(Tabell2[[#This Row],[Beftettland]]&lt;=D$434,D$434,IF(Tabell2[[#This Row],[Beftettland]]&gt;=D$435,D$435,Tabell2[[#This Row],[Beftettland]]))</f>
        <v>1.4025423756281519</v>
      </c>
      <c r="O425" s="24">
        <f>IF(Tabell2[[#This Row],[Beftettotal]]&lt;=E$434,E$434,IF(Tabell2[[#This Row],[Beftettotal]]&gt;=E$435,E$435,Tabell2[[#This Row],[Beftettotal]]))</f>
        <v>1.3180632767674032</v>
      </c>
      <c r="P425" s="24">
        <f>IF(Tabell2[[#This Row],[Befvekst10]]&lt;=F$434,F$434,IF(Tabell2[[#This Row],[Befvekst10]]&gt;=F$435,F$435,Tabell2[[#This Row],[Befvekst10]]))</f>
        <v>-5.248023005032354E-2</v>
      </c>
      <c r="Q425" s="24">
        <f>IF(Tabell2[[#This Row],[Kvinneandel]]&lt;=G$434,G$434,IF(Tabell2[[#This Row],[Kvinneandel]]&gt;=G$435,G$435,Tabell2[[#This Row],[Kvinneandel]]))</f>
        <v>9.028831562974203E-2</v>
      </c>
      <c r="R425" s="24">
        <f>IF(Tabell2[[#This Row],[Eldreandel]]&lt;=H$434,H$434,IF(Tabell2[[#This Row],[Eldreandel]]&gt;=H$435,H$435,Tabell2[[#This Row],[Eldreandel]]))</f>
        <v>0.17981790591805766</v>
      </c>
      <c r="S425" s="24">
        <f>IF(Tabell2[[#This Row],[Sysselsettingsvekst10]]&lt;=I$434,I$434,IF(Tabell2[[#This Row],[Sysselsettingsvekst10]]&gt;=I$435,I$435,Tabell2[[#This Row],[Sysselsettingsvekst10]]))</f>
        <v>-3.7433155080213942E-2</v>
      </c>
      <c r="T425" s="24">
        <f>IF(Tabell2[[#This Row],[Yrkesaktivandel]]&lt;=J$434,J$434,IF(Tabell2[[#This Row],[Yrkesaktivandel]]&gt;=J$435,J$435,Tabell2[[#This Row],[Yrkesaktivandel]]))</f>
        <v>0.79888426611272945</v>
      </c>
      <c r="U425" s="24">
        <f>IF(Tabell2[[#This Row],[Inntekt]]&lt;=K$434,K$434,IF(Tabell2[[#This Row],[Inntekt]]&gt;=K$435,K$435,Tabell2[[#This Row],[Inntekt]]))</f>
        <v>344410</v>
      </c>
      <c r="V425" s="7">
        <f>IF(Tabell2[[#This Row],[NIBR11-T]]&lt;=L$437,100,IF(Tabell2[[#This Row],[NIBR11-T]]&gt;=L$436,0,100*(L$436-Tabell2[[#This Row],[NIBR11-T]])/L$439))</f>
        <v>0</v>
      </c>
      <c r="W425" s="7">
        <f>(M$436-Tabell2[[#This Row],[ReisetidOslo-T]])*100/M$439</f>
        <v>0</v>
      </c>
      <c r="X425" s="7">
        <f>100-(N$436-Tabell2[[#This Row],[Beftettland-T]])*100/N$439</f>
        <v>0</v>
      </c>
      <c r="Y425" s="7">
        <f>100-(O$436-Tabell2[[#This Row],[Beftettotal-T]])*100/O$439</f>
        <v>0</v>
      </c>
      <c r="Z425" s="7">
        <f>100-(P$436-Tabell2[[#This Row],[Befvekst10-T]])*100/P$439</f>
        <v>7.5215259291768177</v>
      </c>
      <c r="AA425" s="7">
        <f>100-(Q$436-Tabell2[[#This Row],[Kvinneandel-T]])*100/Q$439</f>
        <v>2.0136270636684657</v>
      </c>
      <c r="AB425" s="7">
        <f>(R$436-Tabell2[[#This Row],[Eldreandel-T]])*100/R$439</f>
        <v>43.721751503219821</v>
      </c>
      <c r="AC425" s="7">
        <f>100-(S$436-Tabell2[[#This Row],[Sysselsettingsvekst10-T]])*100/S$439</f>
        <v>17.99404880461789</v>
      </c>
      <c r="AD425" s="7">
        <f>100-(T$436-Tabell2[[#This Row],[Yrkesaktivandel-T]])*100/T$439</f>
        <v>0</v>
      </c>
      <c r="AE425" s="7">
        <f>100-(U$436-Tabell2[[#This Row],[Inntekt-T]])*100/U$439</f>
        <v>0</v>
      </c>
      <c r="AF425" s="7">
        <v>0</v>
      </c>
      <c r="AG425" s="7">
        <v>0</v>
      </c>
      <c r="AH425" s="7">
        <v>0</v>
      </c>
      <c r="AI425" s="7">
        <v>1.5043051858353635</v>
      </c>
      <c r="AJ425" s="7">
        <v>0.10068135318342329</v>
      </c>
      <c r="AK425" s="7">
        <v>2.1860875751609909</v>
      </c>
      <c r="AL425" s="7">
        <v>1.799404880461789</v>
      </c>
      <c r="AM425" s="7">
        <v>0</v>
      </c>
      <c r="AN425" s="7">
        <v>0</v>
      </c>
      <c r="AO425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5.5904789946415665</v>
      </c>
    </row>
    <row r="426" spans="1:41" x14ac:dyDescent="0.3">
      <c r="A426" s="2" t="s">
        <v>423</v>
      </c>
      <c r="B426">
        <f>'Rådata-K'!N425</f>
        <v>11</v>
      </c>
      <c r="C426" s="7">
        <f>'Rådata-K'!M425</f>
        <v>363.08333333333002</v>
      </c>
      <c r="D426" s="24">
        <f>'Rådata-K'!O425</f>
        <v>0.84067106069216979</v>
      </c>
      <c r="E426" s="24">
        <f>'Rådata-K'!P425</f>
        <v>0.80418543570046741</v>
      </c>
      <c r="F426" s="24">
        <f>'Rådata-K'!Q425</f>
        <v>5.8550185873605942E-2</v>
      </c>
      <c r="G426" s="24">
        <f>'Rådata-K'!R425</f>
        <v>0.10272168568920105</v>
      </c>
      <c r="H426" s="24">
        <f>'Rådata-K'!S425</f>
        <v>0.17471466198419666</v>
      </c>
      <c r="I426" s="24">
        <f>'Rådata-K'!T425</f>
        <v>0.11009174311926606</v>
      </c>
      <c r="J426" s="24">
        <f>'Rådata-K'!U425</f>
        <v>0.75521557719054244</v>
      </c>
      <c r="K426" s="24">
        <f>'Rådata-K'!L425</f>
        <v>334500</v>
      </c>
      <c r="L426" s="24">
        <f>Tabell2[[#This Row],[NIBR11]]</f>
        <v>11</v>
      </c>
      <c r="M426" s="24">
        <f>IF(Tabell2[[#This Row],[ReisetidOslo]]&lt;=C$434,C$434,IF(Tabell2[[#This Row],[ReisetidOslo]]&gt;=C$435,C$435,Tabell2[[#This Row],[ReisetidOslo]]))</f>
        <v>280.45666666669001</v>
      </c>
      <c r="N426" s="24">
        <f>IF(Tabell2[[#This Row],[Beftettland]]&lt;=D$434,D$434,IF(Tabell2[[#This Row],[Beftettland]]&gt;=D$435,D$435,Tabell2[[#This Row],[Beftettland]]))</f>
        <v>1.4025423756281519</v>
      </c>
      <c r="O426" s="24">
        <f>IF(Tabell2[[#This Row],[Beftettotal]]&lt;=E$434,E$434,IF(Tabell2[[#This Row],[Beftettotal]]&gt;=E$435,E$435,Tabell2[[#This Row],[Beftettotal]]))</f>
        <v>1.3180632767674032</v>
      </c>
      <c r="P426" s="24">
        <f>IF(Tabell2[[#This Row],[Befvekst10]]&lt;=F$434,F$434,IF(Tabell2[[#This Row],[Befvekst10]]&gt;=F$435,F$435,Tabell2[[#This Row],[Befvekst10]]))</f>
        <v>5.8550185873605942E-2</v>
      </c>
      <c r="Q426" s="24">
        <f>IF(Tabell2[[#This Row],[Kvinneandel]]&lt;=G$434,G$434,IF(Tabell2[[#This Row],[Kvinneandel]]&gt;=G$435,G$435,Tabell2[[#This Row],[Kvinneandel]]))</f>
        <v>0.10272168568920105</v>
      </c>
      <c r="R426" s="24">
        <f>IF(Tabell2[[#This Row],[Eldreandel]]&lt;=H$434,H$434,IF(Tabell2[[#This Row],[Eldreandel]]&gt;=H$435,H$435,Tabell2[[#This Row],[Eldreandel]]))</f>
        <v>0.17471466198419666</v>
      </c>
      <c r="S426" s="24">
        <f>IF(Tabell2[[#This Row],[Sysselsettingsvekst10]]&lt;=I$434,I$434,IF(Tabell2[[#This Row],[Sysselsettingsvekst10]]&gt;=I$435,I$435,Tabell2[[#This Row],[Sysselsettingsvekst10]]))</f>
        <v>0.11009174311926606</v>
      </c>
      <c r="T426" s="24">
        <f>IF(Tabell2[[#This Row],[Yrkesaktivandel]]&lt;=J$434,J$434,IF(Tabell2[[#This Row],[Yrkesaktivandel]]&gt;=J$435,J$435,Tabell2[[#This Row],[Yrkesaktivandel]]))</f>
        <v>0.79888426611272945</v>
      </c>
      <c r="U426" s="24">
        <f>IF(Tabell2[[#This Row],[Inntekt]]&lt;=K$434,K$434,IF(Tabell2[[#This Row],[Inntekt]]&gt;=K$435,K$435,Tabell2[[#This Row],[Inntekt]]))</f>
        <v>344410</v>
      </c>
      <c r="V426" s="7">
        <f>IF(Tabell2[[#This Row],[NIBR11-T]]&lt;=L$437,100,IF(Tabell2[[#This Row],[NIBR11-T]]&gt;=L$436,0,100*(L$436-Tabell2[[#This Row],[NIBR11-T]])/L$439))</f>
        <v>0</v>
      </c>
      <c r="W426" s="7">
        <f>(M$436-Tabell2[[#This Row],[ReisetidOslo-T]])*100/M$439</f>
        <v>0</v>
      </c>
      <c r="X426" s="7">
        <f>100-(N$436-Tabell2[[#This Row],[Beftettland-T]])*100/N$439</f>
        <v>0</v>
      </c>
      <c r="Y426" s="7">
        <f>100-(O$436-Tabell2[[#This Row],[Beftettotal-T]])*100/O$439</f>
        <v>0</v>
      </c>
      <c r="Z426" s="7">
        <f>100-(P$436-Tabell2[[#This Row],[Befvekst10-T]])*100/P$439</f>
        <v>52.462313852533875</v>
      </c>
      <c r="AA426" s="7">
        <f>100-(Q$436-Tabell2[[#This Row],[Kvinneandel-T]])*100/Q$439</f>
        <v>34.676752550105221</v>
      </c>
      <c r="AB426" s="7">
        <f>(R$436-Tabell2[[#This Row],[Eldreandel-T]])*100/R$439</f>
        <v>49.229452187154074</v>
      </c>
      <c r="AC426" s="7">
        <f>100-(S$436-Tabell2[[#This Row],[Sysselsettingsvekst10-T]])*100/S$439</f>
        <v>66.138991238373961</v>
      </c>
      <c r="AD426" s="7">
        <f>100-(T$436-Tabell2[[#This Row],[Yrkesaktivandel-T]])*100/T$439</f>
        <v>0</v>
      </c>
      <c r="AE426" s="7">
        <f>100-(U$436-Tabell2[[#This Row],[Inntekt-T]])*100/U$439</f>
        <v>0</v>
      </c>
      <c r="AF426" s="7">
        <v>0</v>
      </c>
      <c r="AG426" s="7">
        <v>0</v>
      </c>
      <c r="AH426" s="7">
        <v>0</v>
      </c>
      <c r="AI426" s="7">
        <v>10.492462770506776</v>
      </c>
      <c r="AJ426" s="7">
        <v>1.7338376275052612</v>
      </c>
      <c r="AK426" s="7">
        <v>2.461472609357704</v>
      </c>
      <c r="AL426" s="7">
        <v>6.6138991238373963</v>
      </c>
      <c r="AM426" s="7">
        <v>0</v>
      </c>
      <c r="AN426" s="7">
        <v>0</v>
      </c>
      <c r="AO426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21.301672131207138</v>
      </c>
    </row>
    <row r="427" spans="1:41" x14ac:dyDescent="0.3">
      <c r="A427" s="2" t="s">
        <v>424</v>
      </c>
      <c r="B427">
        <f>'Rådata-K'!N426</f>
        <v>11</v>
      </c>
      <c r="C427" s="7">
        <f>'Rådata-K'!M426</f>
        <v>360.45</v>
      </c>
      <c r="D427" s="24">
        <f>'Rådata-K'!O426</f>
        <v>0.92355717280678262</v>
      </c>
      <c r="E427" s="24">
        <f>'Rådata-K'!P426</f>
        <v>0.8914403893811621</v>
      </c>
      <c r="F427" s="24">
        <f>'Rådata-K'!Q426</f>
        <v>-9.4202898550724612E-2</v>
      </c>
      <c r="G427" s="24">
        <f>'Rådata-K'!R426</f>
        <v>0.10299999999999999</v>
      </c>
      <c r="H427" s="24">
        <f>'Rådata-K'!S426</f>
        <v>0.2</v>
      </c>
      <c r="I427" s="24">
        <f>'Rådata-K'!T426</f>
        <v>7.0921985815601829E-3</v>
      </c>
      <c r="J427" s="24">
        <f>'Rådata-K'!U426</f>
        <v>0.83531409168081494</v>
      </c>
      <c r="K427" s="24">
        <f>'Rådata-K'!L426</f>
        <v>343100</v>
      </c>
      <c r="L427" s="24">
        <f>Tabell2[[#This Row],[NIBR11]]</f>
        <v>11</v>
      </c>
      <c r="M427" s="24">
        <f>IF(Tabell2[[#This Row],[ReisetidOslo]]&lt;=C$434,C$434,IF(Tabell2[[#This Row],[ReisetidOslo]]&gt;=C$435,C$435,Tabell2[[#This Row],[ReisetidOslo]]))</f>
        <v>280.45666666669001</v>
      </c>
      <c r="N427" s="24">
        <f>IF(Tabell2[[#This Row],[Beftettland]]&lt;=D$434,D$434,IF(Tabell2[[#This Row],[Beftettland]]&gt;=D$435,D$435,Tabell2[[#This Row],[Beftettland]]))</f>
        <v>1.4025423756281519</v>
      </c>
      <c r="O427" s="24">
        <f>IF(Tabell2[[#This Row],[Beftettotal]]&lt;=E$434,E$434,IF(Tabell2[[#This Row],[Beftettotal]]&gt;=E$435,E$435,Tabell2[[#This Row],[Beftettotal]]))</f>
        <v>1.3180632767674032</v>
      </c>
      <c r="P427" s="24">
        <f>IF(Tabell2[[#This Row],[Befvekst10]]&lt;=F$434,F$434,IF(Tabell2[[#This Row],[Befvekst10]]&gt;=F$435,F$435,Tabell2[[#This Row],[Befvekst10]]))</f>
        <v>-7.1062862685144085E-2</v>
      </c>
      <c r="Q427" s="24">
        <f>IF(Tabell2[[#This Row],[Kvinneandel]]&lt;=G$434,G$434,IF(Tabell2[[#This Row],[Kvinneandel]]&gt;=G$435,G$435,Tabell2[[#This Row],[Kvinneandel]]))</f>
        <v>0.10299999999999999</v>
      </c>
      <c r="R427" s="24">
        <f>IF(Tabell2[[#This Row],[Eldreandel]]&lt;=H$434,H$434,IF(Tabell2[[#This Row],[Eldreandel]]&gt;=H$435,H$435,Tabell2[[#This Row],[Eldreandel]]))</f>
        <v>0.2</v>
      </c>
      <c r="S427" s="24">
        <f>IF(Tabell2[[#This Row],[Sysselsettingsvekst10]]&lt;=I$434,I$434,IF(Tabell2[[#This Row],[Sysselsettingsvekst10]]&gt;=I$435,I$435,Tabell2[[#This Row],[Sysselsettingsvekst10]]))</f>
        <v>7.0921985815601829E-3</v>
      </c>
      <c r="T427" s="24">
        <f>IF(Tabell2[[#This Row],[Yrkesaktivandel]]&lt;=J$434,J$434,IF(Tabell2[[#This Row],[Yrkesaktivandel]]&gt;=J$435,J$435,Tabell2[[#This Row],[Yrkesaktivandel]]))</f>
        <v>0.83531409168081494</v>
      </c>
      <c r="U427" s="24">
        <f>IF(Tabell2[[#This Row],[Inntekt]]&lt;=K$434,K$434,IF(Tabell2[[#This Row],[Inntekt]]&gt;=K$435,K$435,Tabell2[[#This Row],[Inntekt]]))</f>
        <v>344410</v>
      </c>
      <c r="V427" s="7">
        <f>IF(Tabell2[[#This Row],[NIBR11-T]]&lt;=L$437,100,IF(Tabell2[[#This Row],[NIBR11-T]]&gt;=L$436,0,100*(L$436-Tabell2[[#This Row],[NIBR11-T]])/L$439))</f>
        <v>0</v>
      </c>
      <c r="W427" s="7">
        <f>(M$436-Tabell2[[#This Row],[ReisetidOslo-T]])*100/M$439</f>
        <v>0</v>
      </c>
      <c r="X427" s="7">
        <f>100-(N$436-Tabell2[[#This Row],[Beftettland-T]])*100/N$439</f>
        <v>0</v>
      </c>
      <c r="Y427" s="7">
        <f>100-(O$436-Tabell2[[#This Row],[Beftettotal-T]])*100/O$439</f>
        <v>0</v>
      </c>
      <c r="Z427" s="7">
        <f>100-(P$436-Tabell2[[#This Row],[Befvekst10-T]])*100/P$439</f>
        <v>0</v>
      </c>
      <c r="AA427" s="7">
        <f>100-(Q$436-Tabell2[[#This Row],[Kvinneandel-T]])*100/Q$439</f>
        <v>35.407899070704531</v>
      </c>
      <c r="AB427" s="7">
        <f>(R$436-Tabell2[[#This Row],[Eldreandel-T]])*100/R$439</f>
        <v>21.940128908071681</v>
      </c>
      <c r="AC427" s="7">
        <f>100-(S$436-Tabell2[[#This Row],[Sysselsettingsvekst10-T]])*100/S$439</f>
        <v>32.524955892519216</v>
      </c>
      <c r="AD427" s="7">
        <f>100-(T$436-Tabell2[[#This Row],[Yrkesaktivandel-T]])*100/T$439</f>
        <v>25.69373092549715</v>
      </c>
      <c r="AE427" s="7">
        <f>100-(U$436-Tabell2[[#This Row],[Inntekt-T]])*100/U$439</f>
        <v>0</v>
      </c>
      <c r="AF427" s="7">
        <v>0</v>
      </c>
      <c r="AG427" s="7">
        <v>0</v>
      </c>
      <c r="AH427" s="7">
        <v>0</v>
      </c>
      <c r="AI427" s="7">
        <v>0</v>
      </c>
      <c r="AJ427" s="7">
        <v>1.7703949535352266</v>
      </c>
      <c r="AK427" s="7">
        <v>1.0970064454035842</v>
      </c>
      <c r="AL427" s="7">
        <v>3.2524955892519216</v>
      </c>
      <c r="AM427" s="7">
        <v>2.5693730925497151</v>
      </c>
      <c r="AN427" s="7">
        <v>0</v>
      </c>
      <c r="AO427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8.6892700807404477</v>
      </c>
    </row>
    <row r="428" spans="1:41" x14ac:dyDescent="0.3">
      <c r="A428" s="2" t="s">
        <v>425</v>
      </c>
      <c r="B428">
        <f>'Rådata-K'!N427</f>
        <v>11</v>
      </c>
      <c r="C428" s="7">
        <f>'Rådata-K'!M427</f>
        <v>323</v>
      </c>
      <c r="D428" s="24">
        <f>'Rådata-K'!O427</f>
        <v>0.7625639058304039</v>
      </c>
      <c r="E428" s="24">
        <f>'Rådata-K'!P427</f>
        <v>0.72124106779221742</v>
      </c>
      <c r="F428" s="24">
        <f>'Rådata-K'!Q427</f>
        <v>-2.7944111776447067E-2</v>
      </c>
      <c r="G428" s="24">
        <f>'Rådata-K'!R427</f>
        <v>0.10095824777549624</v>
      </c>
      <c r="H428" s="24">
        <f>'Rådata-K'!S427</f>
        <v>0.17522245037645448</v>
      </c>
      <c r="I428" s="24">
        <f>'Rådata-K'!T427</f>
        <v>9.028309104820198E-2</v>
      </c>
      <c r="J428" s="24">
        <f>'Rådata-K'!U427</f>
        <v>0.8633975481611208</v>
      </c>
      <c r="K428" s="24">
        <f>'Rådata-K'!L427</f>
        <v>371600</v>
      </c>
      <c r="L428" s="24">
        <f>Tabell2[[#This Row],[NIBR11]]</f>
        <v>11</v>
      </c>
      <c r="M428" s="24">
        <f>IF(Tabell2[[#This Row],[ReisetidOslo]]&lt;=C$434,C$434,IF(Tabell2[[#This Row],[ReisetidOslo]]&gt;=C$435,C$435,Tabell2[[#This Row],[ReisetidOslo]]))</f>
        <v>280.45666666669001</v>
      </c>
      <c r="N428" s="24">
        <f>IF(Tabell2[[#This Row],[Beftettland]]&lt;=D$434,D$434,IF(Tabell2[[#This Row],[Beftettland]]&gt;=D$435,D$435,Tabell2[[#This Row],[Beftettland]]))</f>
        <v>1.4025423756281519</v>
      </c>
      <c r="O428" s="24">
        <f>IF(Tabell2[[#This Row],[Beftettotal]]&lt;=E$434,E$434,IF(Tabell2[[#This Row],[Beftettotal]]&gt;=E$435,E$435,Tabell2[[#This Row],[Beftettotal]]))</f>
        <v>1.3180632767674032</v>
      </c>
      <c r="P428" s="24">
        <f>IF(Tabell2[[#This Row],[Befvekst10]]&lt;=F$434,F$434,IF(Tabell2[[#This Row],[Befvekst10]]&gt;=F$435,F$435,Tabell2[[#This Row],[Befvekst10]]))</f>
        <v>-2.7944111776447067E-2</v>
      </c>
      <c r="Q428" s="24">
        <f>IF(Tabell2[[#This Row],[Kvinneandel]]&lt;=G$434,G$434,IF(Tabell2[[#This Row],[Kvinneandel]]&gt;=G$435,G$435,Tabell2[[#This Row],[Kvinneandel]]))</f>
        <v>0.10095824777549624</v>
      </c>
      <c r="R428" s="24">
        <f>IF(Tabell2[[#This Row],[Eldreandel]]&lt;=H$434,H$434,IF(Tabell2[[#This Row],[Eldreandel]]&gt;=H$435,H$435,Tabell2[[#This Row],[Eldreandel]]))</f>
        <v>0.17522245037645448</v>
      </c>
      <c r="S428" s="24">
        <f>IF(Tabell2[[#This Row],[Sysselsettingsvekst10]]&lt;=I$434,I$434,IF(Tabell2[[#This Row],[Sysselsettingsvekst10]]&gt;=I$435,I$435,Tabell2[[#This Row],[Sysselsettingsvekst10]]))</f>
        <v>9.028309104820198E-2</v>
      </c>
      <c r="T428" s="24">
        <f>IF(Tabell2[[#This Row],[Yrkesaktivandel]]&lt;=J$434,J$434,IF(Tabell2[[#This Row],[Yrkesaktivandel]]&gt;=J$435,J$435,Tabell2[[#This Row],[Yrkesaktivandel]]))</f>
        <v>0.8633975481611208</v>
      </c>
      <c r="U428" s="24">
        <f>IF(Tabell2[[#This Row],[Inntekt]]&lt;=K$434,K$434,IF(Tabell2[[#This Row],[Inntekt]]&gt;=K$435,K$435,Tabell2[[#This Row],[Inntekt]]))</f>
        <v>371600</v>
      </c>
      <c r="V428" s="7">
        <f>IF(Tabell2[[#This Row],[NIBR11-T]]&lt;=L$437,100,IF(Tabell2[[#This Row],[NIBR11-T]]&gt;=L$436,0,100*(L$436-Tabell2[[#This Row],[NIBR11-T]])/L$439))</f>
        <v>0</v>
      </c>
      <c r="W428" s="7">
        <f>(M$436-Tabell2[[#This Row],[ReisetidOslo-T]])*100/M$439</f>
        <v>0</v>
      </c>
      <c r="X428" s="7">
        <f>100-(N$436-Tabell2[[#This Row],[Beftettland-T]])*100/N$439</f>
        <v>0</v>
      </c>
      <c r="Y428" s="7">
        <f>100-(O$436-Tabell2[[#This Row],[Beftettotal-T]])*100/O$439</f>
        <v>0</v>
      </c>
      <c r="Z428" s="7">
        <f>100-(P$436-Tabell2[[#This Row],[Befvekst10-T]])*100/P$439</f>
        <v>17.452790967075686</v>
      </c>
      <c r="AA428" s="7">
        <f>100-(Q$436-Tabell2[[#This Row],[Kvinneandel-T]])*100/Q$439</f>
        <v>30.044107210392184</v>
      </c>
      <c r="AB428" s="7">
        <f>(R$436-Tabell2[[#This Row],[Eldreandel-T]])*100/R$439</f>
        <v>48.681419110236995</v>
      </c>
      <c r="AC428" s="7">
        <f>100-(S$436-Tabell2[[#This Row],[Sysselsettingsvekst10-T]])*100/S$439</f>
        <v>59.674411867086221</v>
      </c>
      <c r="AD428" s="7">
        <f>100-(T$436-Tabell2[[#This Row],[Yrkesaktivandel-T]])*100/T$439</f>
        <v>45.500819293634208</v>
      </c>
      <c r="AE428" s="7">
        <f>100-(U$436-Tabell2[[#This Row],[Inntekt-T]])*100/U$439</f>
        <v>30.685024263627128</v>
      </c>
      <c r="AF428" s="7">
        <v>0</v>
      </c>
      <c r="AG428" s="7">
        <v>0</v>
      </c>
      <c r="AH428" s="7">
        <v>0</v>
      </c>
      <c r="AI428" s="7">
        <v>3.4905581934151373</v>
      </c>
      <c r="AJ428" s="7">
        <v>1.5022053605196093</v>
      </c>
      <c r="AK428" s="7">
        <v>2.4340709555118498</v>
      </c>
      <c r="AL428" s="7">
        <v>5.9674411867086228</v>
      </c>
      <c r="AM428" s="7">
        <v>4.5500819293634214</v>
      </c>
      <c r="AN428" s="7">
        <v>3.0685024263627128</v>
      </c>
      <c r="AO428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21.012860051881354</v>
      </c>
    </row>
    <row r="429" spans="1:41" x14ac:dyDescent="0.3">
      <c r="A429" s="2" t="s">
        <v>426</v>
      </c>
      <c r="B429">
        <f>'Rådata-K'!N428</f>
        <v>7</v>
      </c>
      <c r="C429" s="7">
        <f>'Rådata-K'!M428</f>
        <v>308.8333333333</v>
      </c>
      <c r="D429" s="24">
        <f>'Rådata-K'!O428</f>
        <v>0.70209089844207562</v>
      </c>
      <c r="E429" s="24">
        <f>'Rådata-K'!P428</f>
        <v>0.66741365031422029</v>
      </c>
      <c r="F429" s="24">
        <f>'Rådata-K'!Q428</f>
        <v>7.5112107623318325E-2</v>
      </c>
      <c r="G429" s="24">
        <f>'Rådata-K'!R428</f>
        <v>0.10427528675703858</v>
      </c>
      <c r="H429" s="24">
        <f>'Rådata-K'!S428</f>
        <v>0.20437956204379562</v>
      </c>
      <c r="I429" s="24">
        <f>'Rådata-K'!T428</f>
        <v>2.1472392638036908E-2</v>
      </c>
      <c r="J429" s="24">
        <f>'Rådata-K'!U428</f>
        <v>0.78557874762808344</v>
      </c>
      <c r="K429" s="24">
        <f>'Rådata-K'!L428</f>
        <v>345800</v>
      </c>
      <c r="L429" s="24">
        <f>Tabell2[[#This Row],[NIBR11]]</f>
        <v>7</v>
      </c>
      <c r="M429" s="24">
        <f>IF(Tabell2[[#This Row],[ReisetidOslo]]&lt;=C$434,C$434,IF(Tabell2[[#This Row],[ReisetidOslo]]&gt;=C$435,C$435,Tabell2[[#This Row],[ReisetidOslo]]))</f>
        <v>280.45666666669001</v>
      </c>
      <c r="N429" s="24">
        <f>IF(Tabell2[[#This Row],[Beftettland]]&lt;=D$434,D$434,IF(Tabell2[[#This Row],[Beftettland]]&gt;=D$435,D$435,Tabell2[[#This Row],[Beftettland]]))</f>
        <v>1.4025423756281519</v>
      </c>
      <c r="O429" s="24">
        <f>IF(Tabell2[[#This Row],[Beftettotal]]&lt;=E$434,E$434,IF(Tabell2[[#This Row],[Beftettotal]]&gt;=E$435,E$435,Tabell2[[#This Row],[Beftettotal]]))</f>
        <v>1.3180632767674032</v>
      </c>
      <c r="P429" s="24">
        <f>IF(Tabell2[[#This Row],[Befvekst10]]&lt;=F$434,F$434,IF(Tabell2[[#This Row],[Befvekst10]]&gt;=F$435,F$435,Tabell2[[#This Row],[Befvekst10]]))</f>
        <v>7.5112107623318325E-2</v>
      </c>
      <c r="Q429" s="24">
        <f>IF(Tabell2[[#This Row],[Kvinneandel]]&lt;=G$434,G$434,IF(Tabell2[[#This Row],[Kvinneandel]]&gt;=G$435,G$435,Tabell2[[#This Row],[Kvinneandel]]))</f>
        <v>0.10427528675703858</v>
      </c>
      <c r="R429" s="24">
        <f>IF(Tabell2[[#This Row],[Eldreandel]]&lt;=H$434,H$434,IF(Tabell2[[#This Row],[Eldreandel]]&gt;=H$435,H$435,Tabell2[[#This Row],[Eldreandel]]))</f>
        <v>0.20437956204379562</v>
      </c>
      <c r="S429" s="24">
        <f>IF(Tabell2[[#This Row],[Sysselsettingsvekst10]]&lt;=I$434,I$434,IF(Tabell2[[#This Row],[Sysselsettingsvekst10]]&gt;=I$435,I$435,Tabell2[[#This Row],[Sysselsettingsvekst10]]))</f>
        <v>2.1472392638036908E-2</v>
      </c>
      <c r="T429" s="24">
        <f>IF(Tabell2[[#This Row],[Yrkesaktivandel]]&lt;=J$434,J$434,IF(Tabell2[[#This Row],[Yrkesaktivandel]]&gt;=J$435,J$435,Tabell2[[#This Row],[Yrkesaktivandel]]))</f>
        <v>0.79888426611272945</v>
      </c>
      <c r="U429" s="24">
        <f>IF(Tabell2[[#This Row],[Inntekt]]&lt;=K$434,K$434,IF(Tabell2[[#This Row],[Inntekt]]&gt;=K$435,K$435,Tabell2[[#This Row],[Inntekt]]))</f>
        <v>345800</v>
      </c>
      <c r="V429" s="7">
        <f>IF(Tabell2[[#This Row],[NIBR11-T]]&lt;=L$437,100,IF(Tabell2[[#This Row],[NIBR11-T]]&gt;=L$436,0,100*(L$436-Tabell2[[#This Row],[NIBR11-T]])/L$439))</f>
        <v>40</v>
      </c>
      <c r="W429" s="7">
        <f>(M$436-Tabell2[[#This Row],[ReisetidOslo-T]])*100/M$439</f>
        <v>0</v>
      </c>
      <c r="X429" s="7">
        <f>100-(N$436-Tabell2[[#This Row],[Beftettland-T]])*100/N$439</f>
        <v>0</v>
      </c>
      <c r="Y429" s="7">
        <f>100-(O$436-Tabell2[[#This Row],[Beftettotal-T]])*100/O$439</f>
        <v>0</v>
      </c>
      <c r="Z429" s="7">
        <f>100-(P$436-Tabell2[[#This Row],[Befvekst10-T]])*100/P$439</f>
        <v>59.165934718612647</v>
      </c>
      <c r="AA429" s="7">
        <f>100-(Q$436-Tabell2[[#This Row],[Kvinneandel-T]])*100/Q$439</f>
        <v>38.758145317469484</v>
      </c>
      <c r="AB429" s="7">
        <f>(R$436-Tabell2[[#This Row],[Eldreandel-T]])*100/R$439</f>
        <v>17.213465402160072</v>
      </c>
      <c r="AC429" s="7">
        <f>100-(S$436-Tabell2[[#This Row],[Sysselsettingsvekst10-T]])*100/S$439</f>
        <v>37.217950929188589</v>
      </c>
      <c r="AD429" s="7">
        <f>100-(T$436-Tabell2[[#This Row],[Yrkesaktivandel-T]])*100/T$439</f>
        <v>0</v>
      </c>
      <c r="AE429" s="7">
        <f>100-(U$436-Tabell2[[#This Row],[Inntekt-T]])*100/U$439</f>
        <v>1.5686717074822241</v>
      </c>
      <c r="AF429" s="7">
        <v>8</v>
      </c>
      <c r="AG429" s="7">
        <v>0</v>
      </c>
      <c r="AH429" s="7">
        <v>0</v>
      </c>
      <c r="AI429" s="7">
        <v>11.833186943722531</v>
      </c>
      <c r="AJ429" s="7">
        <v>1.9379072658734744</v>
      </c>
      <c r="AK429" s="7">
        <v>0.86067327010800365</v>
      </c>
      <c r="AL429" s="7">
        <v>3.721795092918859</v>
      </c>
      <c r="AM429" s="7">
        <v>0</v>
      </c>
      <c r="AN429" s="7">
        <v>0.15686717074822243</v>
      </c>
      <c r="AO429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26.510429743371088</v>
      </c>
    </row>
    <row r="430" spans="1:41" x14ac:dyDescent="0.3">
      <c r="A430" s="2" t="s">
        <v>427</v>
      </c>
      <c r="B430">
        <f>'Rådata-K'!N429</f>
        <v>9</v>
      </c>
      <c r="C430" s="7">
        <f>'Rådata-K'!M429</f>
        <v>359.25</v>
      </c>
      <c r="D430" s="24">
        <f>'Rådata-K'!O429</f>
        <v>1.5614406779661016</v>
      </c>
      <c r="E430" s="24">
        <f>'Rådata-K'!P429</f>
        <v>1.5410672465707593</v>
      </c>
      <c r="F430" s="24">
        <f>'Rådata-K'!Q429</f>
        <v>1.8424689083371693E-2</v>
      </c>
      <c r="G430" s="24">
        <f>'Rådata-K'!R429</f>
        <v>0.1117141564902759</v>
      </c>
      <c r="H430" s="24">
        <f>'Rådata-K'!S429</f>
        <v>0.13794663048394393</v>
      </c>
      <c r="I430" s="24">
        <f>'Rådata-K'!T429</f>
        <v>0.10120240480961917</v>
      </c>
      <c r="J430" s="24">
        <f>'Rådata-K'!U429</f>
        <v>0.79593318809005087</v>
      </c>
      <c r="K430" s="24">
        <f>'Rådata-K'!L429</f>
        <v>361400</v>
      </c>
      <c r="L430" s="24">
        <f>Tabell2[[#This Row],[NIBR11]]</f>
        <v>9</v>
      </c>
      <c r="M430" s="24">
        <f>IF(Tabell2[[#This Row],[ReisetidOslo]]&lt;=C$434,C$434,IF(Tabell2[[#This Row],[ReisetidOslo]]&gt;=C$435,C$435,Tabell2[[#This Row],[ReisetidOslo]]))</f>
        <v>280.45666666669001</v>
      </c>
      <c r="N430" s="24">
        <f>IF(Tabell2[[#This Row],[Beftettland]]&lt;=D$434,D$434,IF(Tabell2[[#This Row],[Beftettland]]&gt;=D$435,D$435,Tabell2[[#This Row],[Beftettland]]))</f>
        <v>1.5614406779661016</v>
      </c>
      <c r="O430" s="24">
        <f>IF(Tabell2[[#This Row],[Beftettotal]]&lt;=E$434,E$434,IF(Tabell2[[#This Row],[Beftettotal]]&gt;=E$435,E$435,Tabell2[[#This Row],[Beftettotal]]))</f>
        <v>1.5410672465707593</v>
      </c>
      <c r="P430" s="24">
        <f>IF(Tabell2[[#This Row],[Befvekst10]]&lt;=F$434,F$434,IF(Tabell2[[#This Row],[Befvekst10]]&gt;=F$435,F$435,Tabell2[[#This Row],[Befvekst10]]))</f>
        <v>1.8424689083371693E-2</v>
      </c>
      <c r="Q430" s="24">
        <f>IF(Tabell2[[#This Row],[Kvinneandel]]&lt;=G$434,G$434,IF(Tabell2[[#This Row],[Kvinneandel]]&gt;=G$435,G$435,Tabell2[[#This Row],[Kvinneandel]]))</f>
        <v>0.1117141564902759</v>
      </c>
      <c r="R430" s="24">
        <f>IF(Tabell2[[#This Row],[Eldreandel]]&lt;=H$434,H$434,IF(Tabell2[[#This Row],[Eldreandel]]&gt;=H$435,H$435,Tabell2[[#This Row],[Eldreandel]]))</f>
        <v>0.13794663048394393</v>
      </c>
      <c r="S430" s="24">
        <f>IF(Tabell2[[#This Row],[Sysselsettingsvekst10]]&lt;=I$434,I$434,IF(Tabell2[[#This Row],[Sysselsettingsvekst10]]&gt;=I$435,I$435,Tabell2[[#This Row],[Sysselsettingsvekst10]]))</f>
        <v>0.10120240480961917</v>
      </c>
      <c r="T430" s="24">
        <f>IF(Tabell2[[#This Row],[Yrkesaktivandel]]&lt;=J$434,J$434,IF(Tabell2[[#This Row],[Yrkesaktivandel]]&gt;=J$435,J$435,Tabell2[[#This Row],[Yrkesaktivandel]]))</f>
        <v>0.79888426611272945</v>
      </c>
      <c r="U430" s="24">
        <f>IF(Tabell2[[#This Row],[Inntekt]]&lt;=K$434,K$434,IF(Tabell2[[#This Row],[Inntekt]]&gt;=K$435,K$435,Tabell2[[#This Row],[Inntekt]]))</f>
        <v>361400</v>
      </c>
      <c r="V430" s="7">
        <f>IF(Tabell2[[#This Row],[NIBR11-T]]&lt;=L$437,100,IF(Tabell2[[#This Row],[NIBR11-T]]&gt;=L$436,0,100*(L$436-Tabell2[[#This Row],[NIBR11-T]])/L$439))</f>
        <v>20</v>
      </c>
      <c r="W430" s="7">
        <f>(M$436-Tabell2[[#This Row],[ReisetidOslo-T]])*100/M$439</f>
        <v>0</v>
      </c>
      <c r="X430" s="7">
        <f>100-(N$436-Tabell2[[#This Row],[Beftettland-T]])*100/N$439</f>
        <v>0.11753766914124242</v>
      </c>
      <c r="Y430" s="7">
        <f>100-(O$436-Tabell2[[#This Row],[Beftettotal-T]])*100/O$439</f>
        <v>0.17069583873892213</v>
      </c>
      <c r="Z430" s="7">
        <f>100-(P$436-Tabell2[[#This Row],[Befvekst10-T]])*100/P$439</f>
        <v>36.22107557054148</v>
      </c>
      <c r="AA430" s="7">
        <f>100-(Q$436-Tabell2[[#This Row],[Kvinneandel-T]])*100/Q$439</f>
        <v>58.300452384018655</v>
      </c>
      <c r="AB430" s="7">
        <f>(R$436-Tabell2[[#This Row],[Eldreandel-T]])*100/R$439</f>
        <v>88.911527914944301</v>
      </c>
      <c r="AC430" s="7">
        <f>100-(S$436-Tabell2[[#This Row],[Sysselsettingsvekst10-T]])*100/S$439</f>
        <v>63.237944117409803</v>
      </c>
      <c r="AD430" s="7">
        <f>100-(T$436-Tabell2[[#This Row],[Yrkesaktivandel-T]])*100/T$439</f>
        <v>0</v>
      </c>
      <c r="AE430" s="7">
        <f>100-(U$436-Tabell2[[#This Row],[Inntekt-T]])*100/U$439</f>
        <v>19.173908136779147</v>
      </c>
      <c r="AF430" s="7">
        <v>4</v>
      </c>
      <c r="AG430" s="7">
        <v>0</v>
      </c>
      <c r="AH430" s="7">
        <v>1.7069583873892215E-2</v>
      </c>
      <c r="AI430" s="7">
        <v>7.2442151141082967</v>
      </c>
      <c r="AJ430" s="7">
        <v>2.9150226192009328</v>
      </c>
      <c r="AK430" s="7">
        <v>4.4455763957472154</v>
      </c>
      <c r="AL430" s="7">
        <v>6.3237944117409803</v>
      </c>
      <c r="AM430" s="7">
        <v>0</v>
      </c>
      <c r="AN430" s="7">
        <v>1.9173908136779148</v>
      </c>
      <c r="AO430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26.863068938349233</v>
      </c>
    </row>
    <row r="431" spans="1:41" x14ac:dyDescent="0.3">
      <c r="A431" s="2" t="s">
        <v>428</v>
      </c>
      <c r="B431">
        <f>'Rådata-K'!N430</f>
        <v>9</v>
      </c>
      <c r="C431" s="7">
        <f>'Rådata-K'!M430</f>
        <v>237.35</v>
      </c>
      <c r="D431" s="24">
        <f>'Rådata-K'!O430</f>
        <v>2.9569084159274639</v>
      </c>
      <c r="E431" s="24">
        <f>'Rådata-K'!P430</f>
        <v>2.5750456996963424</v>
      </c>
      <c r="F431" s="24">
        <f>'Rådata-K'!Q430</f>
        <v>8.0621301775148035E-2</v>
      </c>
      <c r="G431" s="24">
        <f>'Rådata-K'!R430</f>
        <v>0.12486555197027477</v>
      </c>
      <c r="H431" s="24">
        <f>'Rådata-K'!S430</f>
        <v>0.14051041361102962</v>
      </c>
      <c r="I431" s="24">
        <f>'Rådata-K'!T430</f>
        <v>0.14363266229359883</v>
      </c>
      <c r="J431" s="24">
        <f>'Rådata-K'!U430</f>
        <v>0.8223758238225366</v>
      </c>
      <c r="K431" s="24">
        <f>'Rådata-K'!L430</f>
        <v>390700</v>
      </c>
      <c r="L431" s="24">
        <f>Tabell2[[#This Row],[NIBR11]]</f>
        <v>9</v>
      </c>
      <c r="M431" s="24">
        <f>IF(Tabell2[[#This Row],[ReisetidOslo]]&lt;=C$434,C$434,IF(Tabell2[[#This Row],[ReisetidOslo]]&gt;=C$435,C$435,Tabell2[[#This Row],[ReisetidOslo]]))</f>
        <v>237.35</v>
      </c>
      <c r="N431" s="24">
        <f>IF(Tabell2[[#This Row],[Beftettland]]&lt;=D$434,D$434,IF(Tabell2[[#This Row],[Beftettland]]&gt;=D$435,D$435,Tabell2[[#This Row],[Beftettland]]))</f>
        <v>2.9569084159274639</v>
      </c>
      <c r="O431" s="24">
        <f>IF(Tabell2[[#This Row],[Beftettotal]]&lt;=E$434,E$434,IF(Tabell2[[#This Row],[Beftettotal]]&gt;=E$435,E$435,Tabell2[[#This Row],[Beftettotal]]))</f>
        <v>2.5750456996963424</v>
      </c>
      <c r="P431" s="24">
        <f>IF(Tabell2[[#This Row],[Befvekst10]]&lt;=F$434,F$434,IF(Tabell2[[#This Row],[Befvekst10]]&gt;=F$435,F$435,Tabell2[[#This Row],[Befvekst10]]))</f>
        <v>8.0621301775148035E-2</v>
      </c>
      <c r="Q431" s="24">
        <f>IF(Tabell2[[#This Row],[Kvinneandel]]&lt;=G$434,G$434,IF(Tabell2[[#This Row],[Kvinneandel]]&gt;=G$435,G$435,Tabell2[[#This Row],[Kvinneandel]]))</f>
        <v>0.12486555197027477</v>
      </c>
      <c r="R431" s="24">
        <f>IF(Tabell2[[#This Row],[Eldreandel]]&lt;=H$434,H$434,IF(Tabell2[[#This Row],[Eldreandel]]&gt;=H$435,H$435,Tabell2[[#This Row],[Eldreandel]]))</f>
        <v>0.14051041361102962</v>
      </c>
      <c r="S431" s="24">
        <f>IF(Tabell2[[#This Row],[Sysselsettingsvekst10]]&lt;=I$434,I$434,IF(Tabell2[[#This Row],[Sysselsettingsvekst10]]&gt;=I$435,I$435,Tabell2[[#This Row],[Sysselsettingsvekst10]]))</f>
        <v>0.14363266229359883</v>
      </c>
      <c r="T431" s="24">
        <f>IF(Tabell2[[#This Row],[Yrkesaktivandel]]&lt;=J$434,J$434,IF(Tabell2[[#This Row],[Yrkesaktivandel]]&gt;=J$435,J$435,Tabell2[[#This Row],[Yrkesaktivandel]]))</f>
        <v>0.8223758238225366</v>
      </c>
      <c r="U431" s="24">
        <f>IF(Tabell2[[#This Row],[Inntekt]]&lt;=K$434,K$434,IF(Tabell2[[#This Row],[Inntekt]]&gt;=K$435,K$435,Tabell2[[#This Row],[Inntekt]]))</f>
        <v>390700</v>
      </c>
      <c r="V431" s="7">
        <f>IF(Tabell2[[#This Row],[NIBR11-T]]&lt;=L$437,100,IF(Tabell2[[#This Row],[NIBR11-T]]&gt;=L$436,0,100*(L$436-Tabell2[[#This Row],[NIBR11-T]])/L$439))</f>
        <v>20</v>
      </c>
      <c r="W431" s="7">
        <f>(M$436-Tabell2[[#This Row],[ReisetidOslo-T]])*100/M$439</f>
        <v>18.913345521032074</v>
      </c>
      <c r="X431" s="7">
        <f>100-(N$436-Tabell2[[#This Row],[Beftettland-T]])*100/N$439</f>
        <v>1.1497703794250498</v>
      </c>
      <c r="Y431" s="7">
        <f>100-(O$436-Tabell2[[#This Row],[Beftettotal-T]])*100/O$439</f>
        <v>0.96214282261942685</v>
      </c>
      <c r="Z431" s="7">
        <f>100-(P$436-Tabell2[[#This Row],[Befvekst10-T]])*100/P$439</f>
        <v>61.395841937690413</v>
      </c>
      <c r="AA431" s="7">
        <f>100-(Q$436-Tabell2[[#This Row],[Kvinneandel-T]])*100/Q$439</f>
        <v>92.849868900271758</v>
      </c>
      <c r="AB431" s="7">
        <f>(R$436-Tabell2[[#This Row],[Eldreandel-T]])*100/R$439</f>
        <v>86.144552582094462</v>
      </c>
      <c r="AC431" s="7">
        <f>100-(S$436-Tabell2[[#This Row],[Sysselsettingsvekst10-T]])*100/S$439</f>
        <v>77.085113842302036</v>
      </c>
      <c r="AD431" s="7">
        <f>100-(T$436-Tabell2[[#This Row],[Yrkesaktivandel-T]])*100/T$439</f>
        <v>16.568450532064773</v>
      </c>
      <c r="AE431" s="7">
        <f>100-(U$436-Tabell2[[#This Row],[Inntekt-T]])*100/U$439</f>
        <v>52.240153481548361</v>
      </c>
      <c r="AF431" s="7">
        <v>4</v>
      </c>
      <c r="AG431" s="7">
        <v>1.8913345521032074</v>
      </c>
      <c r="AH431" s="7">
        <v>9.6214282261942688E-2</v>
      </c>
      <c r="AI431" s="7">
        <v>12.279168387538084</v>
      </c>
      <c r="AJ431" s="7">
        <v>4.6424934450135877</v>
      </c>
      <c r="AK431" s="7">
        <v>4.3072276291047231</v>
      </c>
      <c r="AL431" s="7">
        <v>7.7085113842302038</v>
      </c>
      <c r="AM431" s="7">
        <v>1.6568450532064773</v>
      </c>
      <c r="AN431" s="7">
        <v>5.2240153481548361</v>
      </c>
      <c r="AO431" s="36">
        <f>Tabell2[[#This Row],[NIBR11-I]]*Vekting!$B$3+Tabell2[[#This Row],[ReisetidOslo-I]]*Vekting!$C$3+Tabell2[[#This Row],[Beftettotal-I]]*Vekting!$D$3+Tabell2[[#This Row],[Befvekst10-I]]*Vekting!$E$3+Tabell2[[#This Row],[Kvinneandel-I]]*Vekting!$F$3+Tabell2[[#This Row],[Eldreandel-I]]*Vekting!$G$3+Tabell2[[#This Row],[Sysselsettingsvekst10-I]]*Vekting!$H$3+Tabell2[[#This Row],[Yrkesaktivandel-I]]*Vekting!$J$3+Tabell2[[#This Row],[Inntekt-I]]*Vekting!$L$3</f>
        <v>41.80581008161306</v>
      </c>
    </row>
    <row r="434" spans="1:23" x14ac:dyDescent="0.3">
      <c r="A434" s="8" t="s">
        <v>454</v>
      </c>
      <c r="B434" s="8">
        <f>PERCENTILE(Tabell2[NIBR11],0.1)</f>
        <v>1</v>
      </c>
      <c r="C434" s="25">
        <f>PERCENTILE(Tabell2[ReisetidOslo],0.1)</f>
        <v>52.54</v>
      </c>
      <c r="D434" s="25">
        <f>PERCENTILE(Tabell2[Beftettland],0.1)</f>
        <v>1.4025423756281519</v>
      </c>
      <c r="E434" s="25">
        <f>PERCENTILE(Tabell2[Beftettotal],0.1)</f>
        <v>1.3180632767674032</v>
      </c>
      <c r="F434" s="25">
        <f>PERCENTILE(Tabell2[Befvekst10],0.1)</f>
        <v>-7.1062862685144085E-2</v>
      </c>
      <c r="G434" s="26">
        <f>PERCENTILE(Tabell2[Kvinneandel],0.1)</f>
        <v>8.9521819157910881E-2</v>
      </c>
      <c r="H434" s="26">
        <f>PERCENTILE(Tabell2[Eldreandel],0.1)</f>
        <v>0.12767243783057225</v>
      </c>
      <c r="I434" s="26">
        <f>PERCENTILE(Tabell2[Sysselsettingsvekst10],0.1)</f>
        <v>-9.2570207570207563E-2</v>
      </c>
      <c r="J434" s="26">
        <f>PERCENTILE(Tabell2[Yrkesaktivandel],0.1)</f>
        <v>0.79888426611272945</v>
      </c>
      <c r="K434" s="27">
        <f>PERCENTILE(Tabell2[Inntekt],0.1)</f>
        <v>344410</v>
      </c>
      <c r="L434" s="27">
        <f>PERCENTILE(Tabell2[NIBR11-T],0.1)</f>
        <v>1</v>
      </c>
      <c r="M434" s="27">
        <f>PERCENTILE(Tabell2[ReisetidOslo-T],0.1)</f>
        <v>52.686999999999998</v>
      </c>
      <c r="N434" s="27">
        <f>PERCENTILE(Tabell2[Beftettland-T],0.1)</f>
        <v>1.4129675626727958</v>
      </c>
      <c r="O434" s="27">
        <f>PERCENTILE(Tabell2[Beftettotal-T],0.1)</f>
        <v>1.3394455453060505</v>
      </c>
      <c r="P434" s="30">
        <f>PERCENTILE(Tabell2[Befvekst10-T],0.1)</f>
        <v>-7.1010216830234577E-2</v>
      </c>
      <c r="Q434" s="30">
        <f>PERCENTILE(Tabell2[Kvinneandel-T],0.1)</f>
        <v>8.9568410154152928E-2</v>
      </c>
      <c r="R434" s="30">
        <f>PERCENTILE(Tabell2[Eldreandel-T],0.1)</f>
        <v>0.12768388237891998</v>
      </c>
      <c r="S434" s="30">
        <f>PERCENTILE(Tabell2[Sysselsettingsvekst10-T],0.1)</f>
        <v>-9.1659951159951167E-2</v>
      </c>
      <c r="T434" s="30">
        <f>PERCENTILE(Tabell2[Yrkesaktivandel-T],0.1)</f>
        <v>0.79891915580281103</v>
      </c>
      <c r="U434" s="27">
        <f>PERCENTILE(Tabell2[Inntekt-T],0.1)</f>
        <v>344473</v>
      </c>
      <c r="V434" s="32"/>
      <c r="W434" s="32"/>
    </row>
    <row r="435" spans="1:23" x14ac:dyDescent="0.3">
      <c r="A435" s="8" t="s">
        <v>455</v>
      </c>
      <c r="B435" s="8">
        <f>PERCENTILE(Tabell2[NIBR11],0.9)</f>
        <v>11</v>
      </c>
      <c r="C435" s="25">
        <f>PERCENTILE(Tabell2[ReisetidOslo],0.9)</f>
        <v>280.45666666669001</v>
      </c>
      <c r="D435" s="25">
        <f>PERCENTILE(Tabell2[Beftettland],0.9)</f>
        <v>136.59179999736304</v>
      </c>
      <c r="E435" s="25">
        <f>PERCENTILE(Tabell2[Beftettotal],0.9)</f>
        <v>131.96212083018065</v>
      </c>
      <c r="F435" s="25">
        <f>PERCENTILE(Tabell2[Befvekst10],0.9)</f>
        <v>0.17599648151968622</v>
      </c>
      <c r="G435" s="26">
        <f>PERCENTILE(Tabell2[Kvinneandel],0.9)</f>
        <v>0.12758728250318055</v>
      </c>
      <c r="H435" s="26">
        <f>PERCENTILE(Tabell2[Eldreandel],0.9)</f>
        <v>0.22032896051974013</v>
      </c>
      <c r="I435" s="26">
        <f>PERCENTILE(Tabell2[Sysselsettingsvekst10],0.9)</f>
        <v>0.21384805931725109</v>
      </c>
      <c r="J435" s="26">
        <f>PERCENTILE(Tabell2[Yrkesaktivandel],0.9)</f>
        <v>0.94066914614326791</v>
      </c>
      <c r="K435" s="27">
        <f>PERCENTILE(Tabell2[Inntekt],0.9)</f>
        <v>433020</v>
      </c>
      <c r="L435" s="27">
        <f>PERCENTILE(Tabell2[NIBR11-T],0.9)</f>
        <v>11</v>
      </c>
      <c r="M435" s="27">
        <f>PERCENTILE(Tabell2[ReisetidOslo-T],0.9)</f>
        <v>280.42866666669698</v>
      </c>
      <c r="N435" s="27">
        <f>PERCENTILE(Tabell2[Beftettland-T],0.9)</f>
        <v>136.57290648612724</v>
      </c>
      <c r="O435" s="27">
        <f>PERCENTILE(Tabell2[Beftettotal-T],0.9)</f>
        <v>131.0465346484975</v>
      </c>
      <c r="P435" s="30">
        <f>PERCENTILE(Tabell2[Befvekst10-T],0.9)</f>
        <v>0.175897007762188</v>
      </c>
      <c r="Q435" s="30">
        <f>PERCENTILE(Tabell2[Kvinneandel-T],0.9)</f>
        <v>0.12758679667969158</v>
      </c>
      <c r="R435" s="30">
        <f>PERCENTILE(Tabell2[Eldreandel-T],0.9)</f>
        <v>0.22017477511244379</v>
      </c>
      <c r="S435" s="30">
        <f>PERCENTILE(Tabell2[Sysselsettingsvekst10-T],0.9)</f>
        <v>0.21380106090471593</v>
      </c>
      <c r="T435" s="30">
        <f>PERCENTILE(Tabell2[Yrkesaktivandel-T],0.9)</f>
        <v>0.94063304788098512</v>
      </c>
      <c r="U435" s="27">
        <f>PERCENTILE(Tabell2[Inntekt-T],0.9)</f>
        <v>432936</v>
      </c>
      <c r="V435" s="32"/>
      <c r="W435" s="32"/>
    </row>
    <row r="436" spans="1:23" x14ac:dyDescent="0.3">
      <c r="A436" s="8" t="s">
        <v>456</v>
      </c>
      <c r="B436" s="8">
        <f>MAXA(Tabell2[NIBR11])</f>
        <v>11</v>
      </c>
      <c r="C436" s="25">
        <f>MAXA(Tabell2[ReisetidOslo])</f>
        <v>398.9</v>
      </c>
      <c r="D436" s="25">
        <f>MAXA(Tabell2[Beftettland])</f>
        <v>1950.6470588235295</v>
      </c>
      <c r="E436" s="25">
        <f>MAXA(Tabell2[Beftettotal])</f>
        <v>1859.0609670637702</v>
      </c>
      <c r="F436" s="25">
        <f>MAXA(Tabell2[Befvekst10])</f>
        <v>0.42321219226260265</v>
      </c>
      <c r="G436" s="26">
        <f>MAXA(Tabell2[Kvinneandel])</f>
        <v>0.18419781588420236</v>
      </c>
      <c r="H436" s="26">
        <f>MAXA(Tabell2[Eldreandel])</f>
        <v>0.28113879003558717</v>
      </c>
      <c r="I436" s="26">
        <f>MAXA(Tabell2[Sysselsettingsvekst10])</f>
        <v>0.63948863636363629</v>
      </c>
      <c r="J436" s="26">
        <f>MAXA(Tabell2[Yrkesaktivandel])</f>
        <v>1.0528455284552845</v>
      </c>
      <c r="K436" s="27">
        <f>MAXA(Tabell2[Inntekt])</f>
        <v>587700</v>
      </c>
      <c r="L436" s="27">
        <f>MAXA(Tabell2[NIBR11-T])</f>
        <v>11</v>
      </c>
      <c r="M436" s="27">
        <f>MAXA(Tabell2[ReisetidOslo-T])</f>
        <v>280.45666666669001</v>
      </c>
      <c r="N436" s="27">
        <f>MAXA(Tabell2[Beftettland-T])</f>
        <v>136.59179999736304</v>
      </c>
      <c r="O436" s="27">
        <f>MAXA(Tabell2[Beftettotal-T])</f>
        <v>131.96212083018065</v>
      </c>
      <c r="P436" s="30">
        <f>MAXA(Tabell2[Befvekst10-T])</f>
        <v>0.17599648151968622</v>
      </c>
      <c r="Q436" s="30">
        <f>MAXA(Tabell2[Kvinneandel-T])</f>
        <v>0.12758728250318055</v>
      </c>
      <c r="R436" s="30">
        <f>MAXA(Tabell2[Eldreandel-T])</f>
        <v>0.22032896051974013</v>
      </c>
      <c r="S436" s="30">
        <f>MAXA(Tabell2[Sysselsettingsvekst10-T])</f>
        <v>0.21384805931725109</v>
      </c>
      <c r="T436" s="30">
        <f>MAXA(Tabell2[Yrkesaktivandel-T])</f>
        <v>0.94066914614326791</v>
      </c>
      <c r="U436" s="27">
        <f>MAXA(Tabell2[Inntekt-T])</f>
        <v>433020</v>
      </c>
      <c r="V436" s="32"/>
      <c r="W436" s="32"/>
    </row>
    <row r="437" spans="1:23" x14ac:dyDescent="0.3">
      <c r="A437" s="8" t="s">
        <v>457</v>
      </c>
      <c r="B437" s="8">
        <f>MINA(Tabell2[NIBR11])</f>
        <v>1</v>
      </c>
      <c r="C437" s="25">
        <f>MINA(Tabell2[ReisetidOslo])</f>
        <v>1.3</v>
      </c>
      <c r="D437" s="25">
        <f>MINA(Tabell2[Beftettland])</f>
        <v>0.32958444040330609</v>
      </c>
      <c r="E437" s="25">
        <f>MINA(Tabell2[Beftettotal])</f>
        <v>0.29594386531714578</v>
      </c>
      <c r="F437" s="25">
        <f>MINA(Tabell2[Befvekst10])</f>
        <v>-0.21599340478153339</v>
      </c>
      <c r="G437" s="26">
        <f>MINA(Tabell2[Kvinneandel])</f>
        <v>6.7615658362989328E-2</v>
      </c>
      <c r="H437" s="26">
        <f>MINA(Tabell2[Eldreandel])</f>
        <v>8.3438791867037884E-2</v>
      </c>
      <c r="I437" s="26">
        <f>MINA(Tabell2[Sysselsettingsvekst10])</f>
        <v>-0.27047913446676974</v>
      </c>
      <c r="J437" s="26">
        <f>MINA(Tabell2[Yrkesaktivandel])</f>
        <v>0.72882562277580076</v>
      </c>
      <c r="K437" s="27">
        <f>MINA(Tabell2[Inntekt])</f>
        <v>295900</v>
      </c>
      <c r="L437" s="27">
        <f>MINA(Tabell2[NIBR11-T])</f>
        <v>1</v>
      </c>
      <c r="M437" s="27">
        <f>MINA(Tabell2[ReisetidOslo-T])</f>
        <v>52.54</v>
      </c>
      <c r="N437" s="27">
        <f>MINA(Tabell2[Beftettland-T])</f>
        <v>1.4025423756281519</v>
      </c>
      <c r="O437" s="27">
        <f>MINA(Tabell2[Beftettotal-T])</f>
        <v>1.3180632767674032</v>
      </c>
      <c r="P437" s="30">
        <f>MINA(Tabell2[Befvekst10-T])</f>
        <v>-7.1062862685144085E-2</v>
      </c>
      <c r="Q437" s="30">
        <f>MINA(Tabell2[Kvinneandel-T])</f>
        <v>8.9521819157910881E-2</v>
      </c>
      <c r="R437" s="30">
        <f>MINA(Tabell2[Eldreandel-T])</f>
        <v>0.12767243783057225</v>
      </c>
      <c r="S437" s="30">
        <f>MINA(Tabell2[Sysselsettingsvekst10-T])</f>
        <v>-9.2570207570207563E-2</v>
      </c>
      <c r="T437" s="30">
        <f>MINA(Tabell2[Yrkesaktivandel-T])</f>
        <v>0.79888426611272945</v>
      </c>
      <c r="U437" s="27">
        <f>MINA(Tabell2[Inntekt-T])</f>
        <v>344410</v>
      </c>
      <c r="V437" s="32"/>
      <c r="W437" s="32"/>
    </row>
    <row r="438" spans="1:23" x14ac:dyDescent="0.3">
      <c r="A438" s="8" t="s">
        <v>458</v>
      </c>
      <c r="B438" s="28">
        <f>AVERAGE(Tabell2[NIBR11])</f>
        <v>5.8901869158878508</v>
      </c>
      <c r="C438" s="25">
        <f>AVERAGE(Tabell2[ReisetidOslo])</f>
        <v>184.25514018691098</v>
      </c>
      <c r="D438" s="25">
        <f>AVERAGE(Tabell2[Beftettland])</f>
        <v>59.107874198070256</v>
      </c>
      <c r="E438" s="25">
        <f>AVERAGE(Tabell2[Beftettotal])</f>
        <v>56.352175415905016</v>
      </c>
      <c r="F438" s="25">
        <f>AVERAGE(Tabell2[Befvekst10])</f>
        <v>4.7530182770813743E-2</v>
      </c>
      <c r="G438" s="26">
        <f>AVERAGE(Tabell2[Kvinneandel])</f>
        <v>0.10846948340495077</v>
      </c>
      <c r="H438" s="26">
        <f>AVERAGE(Tabell2[Eldreandel])</f>
        <v>0.17287772739670509</v>
      </c>
      <c r="I438" s="26">
        <f>AVERAGE(Tabell2[Sysselsettingsvekst10])</f>
        <v>5.7815940218374308E-2</v>
      </c>
      <c r="J438" s="26">
        <f>AVERAGE(Tabell2[Yrkesaktivandel])</f>
        <v>0.86672982892238293</v>
      </c>
      <c r="K438" s="27">
        <f>AVERAGE(Tabell2[Inntekt])</f>
        <v>384172.89719626168</v>
      </c>
      <c r="L438" s="27">
        <f>AVERAGE(Tabell2[NIBR11-T])</f>
        <v>5.8901869158878508</v>
      </c>
      <c r="M438" s="27">
        <f>AVERAGE(Tabell2[ReisetidOslo-T])</f>
        <v>182.48700934579239</v>
      </c>
      <c r="N438" s="27">
        <f>AVERAGE(Tabell2[Beftettland-T])</f>
        <v>31.502959856505214</v>
      </c>
      <c r="O438" s="27">
        <f>AVERAGE(Tabell2[Beftettotal-T])</f>
        <v>30.133653083106079</v>
      </c>
      <c r="P438" s="30">
        <f>AVERAGE(Tabell2[Befvekst10-T])</f>
        <v>4.3728737511229944E-2</v>
      </c>
      <c r="Q438" s="30">
        <f>AVERAGE(Tabell2[Kvinneandel-T])</f>
        <v>0.10816983439374428</v>
      </c>
      <c r="R438" s="30">
        <f>AVERAGE(Tabell2[Eldreandel-T])</f>
        <v>0.17264562797055491</v>
      </c>
      <c r="S438" s="30">
        <f>AVERAGE(Tabell2[Sysselsettingsvekst10-T])</f>
        <v>5.2879120389329445E-2</v>
      </c>
      <c r="T438" s="30">
        <f>AVERAGE(Tabell2[Yrkesaktivandel-T])</f>
        <v>0.8668393433474969</v>
      </c>
      <c r="U438" s="27">
        <f>AVERAGE(Tabell2[Inntekt-T])</f>
        <v>382244.13551401871</v>
      </c>
      <c r="V438" s="32"/>
      <c r="W438" s="32"/>
    </row>
    <row r="439" spans="1:23" x14ac:dyDescent="0.3">
      <c r="A439" s="8" t="s">
        <v>476</v>
      </c>
      <c r="B439" s="8">
        <f>B436-B437</f>
        <v>10</v>
      </c>
      <c r="C439" s="8">
        <f t="shared" ref="C439:U439" si="0">C436-C437</f>
        <v>397.59999999999997</v>
      </c>
      <c r="D439" s="8">
        <f t="shared" si="0"/>
        <v>1950.3174743831262</v>
      </c>
      <c r="E439" s="8">
        <f t="shared" ref="E439" si="1">E436-E437</f>
        <v>1858.765023198453</v>
      </c>
      <c r="F439" s="8">
        <f t="shared" ref="F439" si="2">F436-F437</f>
        <v>0.63920559704413604</v>
      </c>
      <c r="G439" s="8">
        <f t="shared" si="0"/>
        <v>0.11658215752121304</v>
      </c>
      <c r="H439" s="8">
        <f t="shared" si="0"/>
        <v>0.19769999816854927</v>
      </c>
      <c r="I439" s="8">
        <f t="shared" si="0"/>
        <v>0.90996777083040603</v>
      </c>
      <c r="J439" s="8">
        <f t="shared" si="0"/>
        <v>0.32401990567948369</v>
      </c>
      <c r="K439" s="8">
        <f t="shared" si="0"/>
        <v>291800</v>
      </c>
      <c r="L439" s="8">
        <f t="shared" si="0"/>
        <v>10</v>
      </c>
      <c r="M439" s="8">
        <f t="shared" si="0"/>
        <v>227.91666666669002</v>
      </c>
      <c r="N439" s="8">
        <f t="shared" si="0"/>
        <v>135.1892576217349</v>
      </c>
      <c r="O439" s="8">
        <f t="shared" ref="O439" si="3">O436-O437</f>
        <v>130.64405755341326</v>
      </c>
      <c r="P439" s="8">
        <f t="shared" si="0"/>
        <v>0.24705934420483031</v>
      </c>
      <c r="Q439" s="8">
        <f t="shared" si="0"/>
        <v>3.8065463345269668E-2</v>
      </c>
      <c r="R439" s="8">
        <f t="shared" si="0"/>
        <v>9.2656522689167881E-2</v>
      </c>
      <c r="S439" s="8">
        <f t="shared" si="0"/>
        <v>0.30641826688745866</v>
      </c>
      <c r="T439" s="8">
        <f t="shared" si="0"/>
        <v>0.14178488003053846</v>
      </c>
      <c r="U439" s="8">
        <f t="shared" si="0"/>
        <v>88610</v>
      </c>
    </row>
  </sheetData>
  <mergeCells count="16">
    <mergeCell ref="L1:U1"/>
    <mergeCell ref="B1:K1"/>
    <mergeCell ref="I2:J2"/>
    <mergeCell ref="F2:H2"/>
    <mergeCell ref="B2:E2"/>
    <mergeCell ref="L2:O2"/>
    <mergeCell ref="P2:R2"/>
    <mergeCell ref="S2:T2"/>
    <mergeCell ref="AF2:AH2"/>
    <mergeCell ref="AI2:AK2"/>
    <mergeCell ref="AL2:AM2"/>
    <mergeCell ref="AF1:AN1"/>
    <mergeCell ref="V1:AE1"/>
    <mergeCell ref="V2:Y2"/>
    <mergeCell ref="Z2:AB2"/>
    <mergeCell ref="AC2:AD2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D2" sqref="D1:D1048576"/>
    </sheetView>
  </sheetViews>
  <sheetFormatPr baseColWidth="10" defaultRowHeight="14.4" x14ac:dyDescent="0.3"/>
  <cols>
    <col min="1" max="1" width="17.109375" bestFit="1" customWidth="1"/>
    <col min="2" max="2" width="7.6640625" bestFit="1" customWidth="1"/>
    <col min="3" max="3" width="8.33203125" bestFit="1" customWidth="1"/>
    <col min="4" max="4" width="14.44140625" bestFit="1" customWidth="1"/>
    <col min="5" max="5" width="10.6640625" bestFit="1" customWidth="1"/>
    <col min="6" max="6" width="12.109375" bestFit="1" customWidth="1"/>
    <col min="7" max="7" width="10.5546875" bestFit="1" customWidth="1"/>
    <col min="8" max="8" width="20.33203125" bestFit="1" customWidth="1"/>
    <col min="9" max="9" width="20.33203125" customWidth="1"/>
    <col min="10" max="10" width="15" bestFit="1" customWidth="1"/>
    <col min="11" max="11" width="15" customWidth="1"/>
    <col min="12" max="12" width="7.88671875" bestFit="1" customWidth="1"/>
    <col min="13" max="13" width="9.109375" bestFit="1" customWidth="1"/>
  </cols>
  <sheetData>
    <row r="1" spans="1:14" x14ac:dyDescent="0.3">
      <c r="A1" s="10" t="s">
        <v>449</v>
      </c>
      <c r="B1" s="75" t="s">
        <v>435</v>
      </c>
      <c r="C1" s="75"/>
      <c r="D1" s="75"/>
      <c r="E1" s="54" t="s">
        <v>446</v>
      </c>
      <c r="F1" s="54"/>
      <c r="G1" s="54"/>
      <c r="H1" s="76" t="s">
        <v>447</v>
      </c>
      <c r="I1" s="76"/>
      <c r="J1" s="76"/>
      <c r="K1" s="76"/>
      <c r="L1" s="19" t="s">
        <v>448</v>
      </c>
      <c r="M1" s="9"/>
      <c r="N1" t="s">
        <v>477</v>
      </c>
    </row>
    <row r="2" spans="1:14" x14ac:dyDescent="0.3">
      <c r="A2" s="10" t="s">
        <v>431</v>
      </c>
      <c r="B2" s="12" t="s">
        <v>430</v>
      </c>
      <c r="C2" s="12" t="s">
        <v>432</v>
      </c>
      <c r="D2" s="12" t="s">
        <v>438</v>
      </c>
      <c r="E2" s="14" t="s">
        <v>439</v>
      </c>
      <c r="F2" s="14" t="s">
        <v>440</v>
      </c>
      <c r="G2" s="14" t="s">
        <v>441</v>
      </c>
      <c r="H2" s="16" t="s">
        <v>442</v>
      </c>
      <c r="I2" s="16" t="s">
        <v>444</v>
      </c>
      <c r="J2" s="16" t="s">
        <v>443</v>
      </c>
      <c r="K2" s="16" t="s">
        <v>445</v>
      </c>
      <c r="L2" s="18" t="s">
        <v>433</v>
      </c>
      <c r="M2" s="10" t="s">
        <v>434</v>
      </c>
    </row>
    <row r="3" spans="1:14" x14ac:dyDescent="0.3">
      <c r="A3" s="10" t="s">
        <v>486</v>
      </c>
      <c r="B3" s="11">
        <v>0.2</v>
      </c>
      <c r="C3" s="11">
        <v>0.1</v>
      </c>
      <c r="D3" s="11">
        <v>0.1</v>
      </c>
      <c r="E3" s="13">
        <v>0.2</v>
      </c>
      <c r="F3" s="13">
        <v>0.05</v>
      </c>
      <c r="G3" s="13">
        <v>0.05</v>
      </c>
      <c r="H3" s="15">
        <v>0.1</v>
      </c>
      <c r="I3" s="15"/>
      <c r="J3" s="15">
        <v>0.1</v>
      </c>
      <c r="K3" s="15"/>
      <c r="L3" s="17">
        <v>0.1</v>
      </c>
      <c r="M3" s="9">
        <f>SUM(B3:L3)</f>
        <v>1.0000000000000002</v>
      </c>
      <c r="N3" t="s">
        <v>481</v>
      </c>
    </row>
  </sheetData>
  <mergeCells count="3">
    <mergeCell ref="B1:D1"/>
    <mergeCell ref="E1:G1"/>
    <mergeCell ref="H1:K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Rådata-K</vt:lpstr>
      <vt:lpstr>Arbeidsark-K</vt:lpstr>
      <vt:lpstr>Vekting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Martin Hasle Jensen</dc:creator>
  <cp:lastModifiedBy>Hans Henrik Bull</cp:lastModifiedBy>
  <cp:lastPrinted>2013-05-10T12:05:29Z</cp:lastPrinted>
  <dcterms:created xsi:type="dcterms:W3CDTF">2012-11-12T08:19:16Z</dcterms:created>
  <dcterms:modified xsi:type="dcterms:W3CDTF">2016-10-10T13:39:00Z</dcterms:modified>
</cp:coreProperties>
</file>